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2210" windowHeight="12750" activeTab="0"/>
  </bookViews>
  <sheets>
    <sheet name="Conduits" sheetId="1" r:id="rId1"/>
    <sheet name="Appareils" sheetId="2" r:id="rId2"/>
    <sheet name="Formeln" sheetId="3" state="hidden" r:id="rId3"/>
    <sheet name="Hilfstool" sheetId="4" state="hidden" r:id="rId4"/>
    <sheet name="Tabelle1" sheetId="5" state="hidden" r:id="rId5"/>
    <sheet name="Tabelle2" sheetId="6" state="hidden" r:id="rId6"/>
    <sheet name="Tabelle3" sheetId="7" state="hidden" r:id="rId7"/>
    <sheet name="Tabelle4" sheetId="8" state="hidden" r:id="rId8"/>
  </sheets>
  <definedNames>
    <definedName name="Z_B8931168_3FC7_4411_8D60_84758EC59965_.wvu.Cols" localSheetId="1" hidden="1">'Appareils'!#REF!</definedName>
    <definedName name="Z_B8931168_3FC7_4411_8D60_84758EC59965_.wvu.Cols" localSheetId="0" hidden="1">'Conduits'!#REF!</definedName>
    <definedName name="Z_B8931168_3FC7_4411_8D60_84758EC59965_.wvu.PrintArea" localSheetId="1" hidden="1">'Appareils'!$C$8</definedName>
    <definedName name="Z_B8931168_3FC7_4411_8D60_84758EC59965_.wvu.Rows" localSheetId="1" hidden="1">'Appareils'!#REF!,'Appareils'!$29:$79</definedName>
    <definedName name="Z_B8931168_3FC7_4411_8D60_84758EC59965_.wvu.Rows" localSheetId="0" hidden="1">'Conduits'!#REF!,'Conduits'!$28:$52</definedName>
  </definedNames>
  <calcPr fullCalcOnLoad="1"/>
</workbook>
</file>

<file path=xl/sharedStrings.xml><?xml version="1.0" encoding="utf-8"?>
<sst xmlns="http://schemas.openxmlformats.org/spreadsheetml/2006/main" count="180" uniqueCount="105">
  <si>
    <t>Berechnung des Wärmeübergangskoeffizienten (k-Wert)</t>
  </si>
  <si>
    <t>λ</t>
  </si>
  <si>
    <t>Wärmübergangskoeffizient ausen</t>
  </si>
  <si>
    <t>Wärmübergangskoeffizient innen</t>
  </si>
  <si>
    <t>Wärmeleitfähigkeit Isoliermaterial 1</t>
  </si>
  <si>
    <t>Wärmeleitfähigkeit Isoliermaterial 2</t>
  </si>
  <si>
    <t>Wärmeleitfähigkeit Isoliermaterial 3</t>
  </si>
  <si>
    <t>Ebene Flächen</t>
  </si>
  <si>
    <t>Dicke in m</t>
  </si>
  <si>
    <t>Für Rohre</t>
  </si>
  <si>
    <t>Ø Rohr ohne Isolierung</t>
  </si>
  <si>
    <t>Ø Rohr mit Isolierung</t>
  </si>
  <si>
    <t>In</t>
  </si>
  <si>
    <t>k= Wm/K</t>
  </si>
  <si>
    <t>k= Wm2/K</t>
  </si>
  <si>
    <t>Wärmestrom für Ebene Flächen</t>
  </si>
  <si>
    <t>ϧi Temperatur Medium</t>
  </si>
  <si>
    <t>ϧa Temperatur Umgebung</t>
  </si>
  <si>
    <t>°C</t>
  </si>
  <si>
    <t>k</t>
  </si>
  <si>
    <t>q= W/m2</t>
  </si>
  <si>
    <t>qr= W/m</t>
  </si>
  <si>
    <t>Oberflächentemperatur für ebene Flächen</t>
  </si>
  <si>
    <t>T Rohr= °C</t>
  </si>
  <si>
    <t>T Ebene= °C</t>
  </si>
  <si>
    <t>Wärmübergangskoeffizient aussen</t>
  </si>
  <si>
    <t>Wärmeleitfähigkeit von Dämmmaterialien in Abhänigikeit der Betriebstemperatur</t>
  </si>
  <si>
    <t>WKZ</t>
  </si>
  <si>
    <t>λ0</t>
  </si>
  <si>
    <t>W/mK</t>
  </si>
  <si>
    <t>b</t>
  </si>
  <si>
    <t>K</t>
  </si>
  <si>
    <t>Temperatur M</t>
  </si>
  <si>
    <t>Oberflächentemperatur</t>
  </si>
  <si>
    <t>λw (Wirksam)</t>
  </si>
  <si>
    <t>e</t>
  </si>
  <si>
    <t>Wärmeverlustberechnung</t>
  </si>
  <si>
    <t>Ø Rohr</t>
  </si>
  <si>
    <t>TM</t>
  </si>
  <si>
    <t>TU</t>
  </si>
  <si>
    <t>A/Einheit</t>
  </si>
  <si>
    <t>m2</t>
  </si>
  <si>
    <t>mm</t>
  </si>
  <si>
    <t xml:space="preserve">Energieeinsparung </t>
  </si>
  <si>
    <t>W/m</t>
  </si>
  <si>
    <t xml:space="preserve"> </t>
  </si>
  <si>
    <t>m</t>
  </si>
  <si>
    <t>Wärmeleitfähigkeit Eisen</t>
  </si>
  <si>
    <t>Teilergebnisse</t>
  </si>
  <si>
    <t>Wärmeleitfähigkeit Isoliermaterial</t>
  </si>
  <si>
    <t>WmK</t>
  </si>
  <si>
    <t>Ergebnis</t>
  </si>
  <si>
    <t>Wärmeübertragung von Rohren unisoliert</t>
  </si>
  <si>
    <t>Wärmeübertragung von Rohren isoliert</t>
  </si>
  <si>
    <t>Ø i</t>
  </si>
  <si>
    <t>Øa</t>
  </si>
  <si>
    <t>Ø Rohr mit Isol</t>
  </si>
  <si>
    <t>Ø Rohr mit Aussen</t>
  </si>
  <si>
    <t>Wm</t>
  </si>
  <si>
    <t>Fr./Jahr</t>
  </si>
  <si>
    <t>Preis pro kwh</t>
  </si>
  <si>
    <t>Grössenberechnung Behälter</t>
  </si>
  <si>
    <t>Preis pro m2</t>
  </si>
  <si>
    <t>Hinweise</t>
  </si>
  <si>
    <t>kW</t>
  </si>
  <si>
    <t>Investition</t>
  </si>
  <si>
    <t>Fr.</t>
  </si>
  <si>
    <t xml:space="preserve"> Ø 22, 28, 35, 42, 60, 76, 89, </t>
  </si>
  <si>
    <t>Nom objet</t>
  </si>
  <si>
    <t>N° objet</t>
  </si>
  <si>
    <t>Client</t>
  </si>
  <si>
    <t>Pos.</t>
  </si>
  <si>
    <t>Immeuble Spécimen / Zumikon</t>
  </si>
  <si>
    <t>Fondation Kunz</t>
  </si>
  <si>
    <t>Chauffage - Répartition sous-sol</t>
  </si>
  <si>
    <t>Champs de saisie</t>
  </si>
  <si>
    <t>Température de l'air</t>
  </si>
  <si>
    <t>Température du matériau</t>
  </si>
  <si>
    <t>Epaisseur de l'isolation</t>
  </si>
  <si>
    <t>Diamètre des conduites</t>
  </si>
  <si>
    <t>Longueur des conduites</t>
  </si>
  <si>
    <t>Jours de chauffage</t>
  </si>
  <si>
    <t>jours</t>
  </si>
  <si>
    <t>Champs de résultat</t>
  </si>
  <si>
    <t>Départ    +70°C    = Température moy. +60°C                                                               Retour    +50°C      (exemple)</t>
  </si>
  <si>
    <t>Selon la loi sur l'énergie</t>
  </si>
  <si>
    <t>Longueur des conduites non isolées</t>
  </si>
  <si>
    <t>E.C.S. = 360 jours de 18 h   /                                             Chauffage = 185 jours de 18 h</t>
  </si>
  <si>
    <t>Déperdition sans isolation</t>
  </si>
  <si>
    <t>Déperdition avec isolation</t>
  </si>
  <si>
    <t>Economies d'énergie</t>
  </si>
  <si>
    <t>Economies d'énergie/an</t>
  </si>
  <si>
    <t>Fr./an</t>
  </si>
  <si>
    <t>Kilowatt-heure Fr. 0.09</t>
  </si>
  <si>
    <t>Coût total de l'isolation</t>
  </si>
  <si>
    <t>Amortissement du coût</t>
  </si>
  <si>
    <t>ans</t>
  </si>
  <si>
    <t>Pièces et main d'œuvre</t>
  </si>
  <si>
    <t>Hors intérêts sur le capital</t>
  </si>
  <si>
    <t>Champ de résultats</t>
  </si>
  <si>
    <t>Investissement</t>
  </si>
  <si>
    <t>Ø ballon</t>
  </si>
  <si>
    <t>Hauteur au sol du ballon</t>
  </si>
  <si>
    <t>Surface isolée</t>
  </si>
  <si>
    <t>E.C.S.                       = 360 jours de 18 h                                                 Chauffage               = 185 jours de 18 h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</si>
</sst>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00000"/>
    <numFmt numFmtId="179" formatCode="0.000"/>
    <numFmt numFmtId="180" formatCode="0.0"/>
    <numFmt numFmtId="181" formatCode="0.0000000"/>
    <numFmt numFmtId="182" formatCode="#,##0.0"/>
    <numFmt numFmtId="183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b/>
      <sz val="15"/>
      <color indexed="17"/>
      <name val="Arial"/>
      <family val="2"/>
    </font>
    <font>
      <b/>
      <sz val="15"/>
      <color indexed="10"/>
      <name val="Arial"/>
      <family val="2"/>
    </font>
    <font>
      <b/>
      <sz val="15"/>
      <color indexed="9"/>
      <name val="Arial"/>
      <family val="2"/>
    </font>
    <font>
      <sz val="20"/>
      <color indexed="8"/>
      <name val="Calibri"/>
      <family val="2"/>
    </font>
    <font>
      <b/>
      <sz val="8"/>
      <color indexed="9"/>
      <name val="Arial"/>
      <family val="2"/>
    </font>
    <font>
      <b/>
      <sz val="15"/>
      <color indexed="2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5"/>
      <color rgb="FF00B050"/>
      <name val="Arial"/>
      <family val="2"/>
    </font>
    <font>
      <b/>
      <sz val="15"/>
      <color rgb="FFFF0000"/>
      <name val="Arial"/>
      <family val="2"/>
    </font>
    <font>
      <b/>
      <sz val="15"/>
      <color theme="0"/>
      <name val="Arial"/>
      <family val="2"/>
    </font>
    <font>
      <sz val="20"/>
      <color theme="1"/>
      <name val="Calibri"/>
      <family val="2"/>
    </font>
    <font>
      <b/>
      <sz val="8"/>
      <color theme="0"/>
      <name val="Arial"/>
      <family val="2"/>
    </font>
    <font>
      <b/>
      <sz val="15"/>
      <color theme="7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rgb="FF00B050"/>
        </stop>
        <stop position="1">
          <color theme="4"/>
        </stop>
      </gradient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7" fillId="35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37" fillId="35" borderId="10" xfId="0" applyFont="1" applyFill="1" applyBorder="1" applyAlignment="1">
      <alignment/>
    </xf>
    <xf numFmtId="178" fontId="0" fillId="36" borderId="0" xfId="0" applyNumberFormat="1" applyFont="1" applyFill="1" applyBorder="1" applyAlignment="1">
      <alignment horizontal="center"/>
    </xf>
    <xf numFmtId="178" fontId="0" fillId="36" borderId="0" xfId="0" applyNumberForma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7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4" xfId="0" applyNumberForma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37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37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13" fontId="0" fillId="0" borderId="15" xfId="0" applyNumberFormat="1" applyBorder="1" applyAlignment="1">
      <alignment/>
    </xf>
    <xf numFmtId="0" fontId="37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37" fillId="0" borderId="10" xfId="0" applyNumberFormat="1" applyFont="1" applyBorder="1" applyAlignment="1">
      <alignment/>
    </xf>
    <xf numFmtId="0" fontId="37" fillId="0" borderId="15" xfId="0" applyFont="1" applyBorder="1" applyAlignment="1">
      <alignment/>
    </xf>
    <xf numFmtId="180" fontId="0" fillId="0" borderId="1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37" fillId="0" borderId="14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7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37" fillId="0" borderId="15" xfId="0" applyFont="1" applyFill="1" applyBorder="1" applyAlignment="1">
      <alignment/>
    </xf>
    <xf numFmtId="13" fontId="37" fillId="0" borderId="16" xfId="0" applyNumberFormat="1" applyFont="1" applyFill="1" applyBorder="1" applyAlignment="1">
      <alignment horizontal="right"/>
    </xf>
    <xf numFmtId="0" fontId="37" fillId="0" borderId="17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1" fontId="0" fillId="0" borderId="16" xfId="0" applyNumberFormat="1" applyFill="1" applyBorder="1" applyAlignment="1">
      <alignment horizontal="left"/>
    </xf>
    <xf numFmtId="0" fontId="37" fillId="0" borderId="18" xfId="0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3" fontId="0" fillId="0" borderId="17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169" fontId="4" fillId="0" borderId="0" xfId="57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13" borderId="20" xfId="0" applyFont="1" applyFill="1" applyBorder="1" applyAlignment="1">
      <alignment horizontal="left"/>
    </xf>
    <xf numFmtId="0" fontId="6" fillId="13" borderId="21" xfId="0" applyFont="1" applyFill="1" applyBorder="1" applyAlignment="1">
      <alignment/>
    </xf>
    <xf numFmtId="0" fontId="6" fillId="13" borderId="22" xfId="0" applyFont="1" applyFill="1" applyBorder="1" applyAlignment="1">
      <alignment/>
    </xf>
    <xf numFmtId="0" fontId="6" fillId="13" borderId="21" xfId="0" applyFont="1" applyFill="1" applyBorder="1" applyAlignment="1">
      <alignment horizontal="right"/>
    </xf>
    <xf numFmtId="0" fontId="6" fillId="13" borderId="20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6" fillId="16" borderId="23" xfId="0" applyFont="1" applyFill="1" applyBorder="1" applyAlignment="1">
      <alignment horizontal="left"/>
    </xf>
    <xf numFmtId="0" fontId="6" fillId="16" borderId="24" xfId="0" applyFont="1" applyFill="1" applyBorder="1" applyAlignment="1">
      <alignment/>
    </xf>
    <xf numFmtId="0" fontId="6" fillId="16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3" xfId="0" applyFont="1" applyFill="1" applyBorder="1" applyAlignment="1">
      <alignment horizontal="left" vertical="center"/>
    </xf>
    <xf numFmtId="0" fontId="7" fillId="17" borderId="0" xfId="0" applyFont="1" applyFill="1" applyBorder="1" applyAlignment="1">
      <alignment vertical="center"/>
    </xf>
    <xf numFmtId="0" fontId="6" fillId="11" borderId="23" xfId="0" applyFont="1" applyFill="1" applyBorder="1" applyAlignment="1">
      <alignment/>
    </xf>
    <xf numFmtId="0" fontId="6" fillId="11" borderId="24" xfId="0" applyFont="1" applyFill="1" applyBorder="1" applyAlignment="1">
      <alignment/>
    </xf>
    <xf numFmtId="0" fontId="6" fillId="11" borderId="23" xfId="0" applyFont="1" applyFill="1" applyBorder="1" applyAlignment="1">
      <alignment horizontal="left" vertical="center"/>
    </xf>
    <xf numFmtId="0" fontId="6" fillId="11" borderId="24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6" fillId="38" borderId="25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/>
    </xf>
    <xf numFmtId="0" fontId="9" fillId="34" borderId="23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7" fillId="19" borderId="26" xfId="0" applyFont="1" applyFill="1" applyBorder="1" applyAlignment="1">
      <alignment/>
    </xf>
    <xf numFmtId="0" fontId="7" fillId="19" borderId="20" xfId="0" applyFont="1" applyFill="1" applyBorder="1" applyAlignment="1">
      <alignment wrapText="1"/>
    </xf>
    <xf numFmtId="0" fontId="7" fillId="19" borderId="20" xfId="0" applyFont="1" applyFill="1" applyBorder="1" applyAlignment="1">
      <alignment vertical="center"/>
    </xf>
    <xf numFmtId="1" fontId="6" fillId="38" borderId="2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19" borderId="2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/>
      <protection/>
    </xf>
    <xf numFmtId="169" fontId="6" fillId="0" borderId="0" xfId="57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83" fontId="6" fillId="11" borderId="10" xfId="57" applyNumberFormat="1" applyFont="1" applyFill="1" applyBorder="1" applyAlignment="1" applyProtection="1">
      <alignment horizontal="right" vertical="center"/>
      <protection/>
    </xf>
    <xf numFmtId="183" fontId="6" fillId="0" borderId="0" xfId="57" applyNumberFormat="1" applyFont="1" applyFill="1" applyBorder="1" applyAlignment="1" applyProtection="1">
      <alignment horizontal="right" vertical="center"/>
      <protection/>
    </xf>
    <xf numFmtId="180" fontId="6" fillId="11" borderId="10" xfId="0" applyNumberFormat="1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 horizontal="center"/>
      <protection/>
    </xf>
    <xf numFmtId="169" fontId="2" fillId="0" borderId="0" xfId="57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6" fillId="11" borderId="0" xfId="0" applyFont="1" applyFill="1" applyBorder="1" applyAlignment="1" applyProtection="1">
      <alignment vertical="center"/>
      <protection/>
    </xf>
    <xf numFmtId="0" fontId="7" fillId="16" borderId="0" xfId="0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6" fillId="13" borderId="27" xfId="0" applyFont="1" applyFill="1" applyBorder="1" applyAlignment="1" applyProtection="1">
      <alignment vertical="center"/>
      <protection/>
    </xf>
    <xf numFmtId="1" fontId="6" fillId="38" borderId="28" xfId="0" applyNumberFormat="1" applyFont="1" applyFill="1" applyBorder="1" applyAlignment="1" applyProtection="1">
      <alignment horizontal="right" vertical="center"/>
      <protection locked="0"/>
    </xf>
    <xf numFmtId="0" fontId="6" fillId="13" borderId="21" xfId="0" applyFont="1" applyFill="1" applyBorder="1" applyAlignment="1" applyProtection="1">
      <alignment vertical="center"/>
      <protection/>
    </xf>
    <xf numFmtId="0" fontId="7" fillId="19" borderId="29" xfId="0" applyFont="1" applyFill="1" applyBorder="1" applyAlignment="1" applyProtection="1">
      <alignment vertical="center"/>
      <protection/>
    </xf>
    <xf numFmtId="0" fontId="6" fillId="13" borderId="30" xfId="0" applyFont="1" applyFill="1" applyBorder="1" applyAlignment="1" applyProtection="1">
      <alignment horizontal="left" vertical="center"/>
      <protection/>
    </xf>
    <xf numFmtId="0" fontId="6" fillId="13" borderId="28" xfId="0" applyFont="1" applyFill="1" applyBorder="1" applyAlignment="1" applyProtection="1">
      <alignment vertical="center"/>
      <protection/>
    </xf>
    <xf numFmtId="0" fontId="6" fillId="38" borderId="28" xfId="0" applyFont="1" applyFill="1" applyBorder="1" applyAlignment="1" applyProtection="1">
      <alignment horizontal="right" vertical="center"/>
      <protection locked="0"/>
    </xf>
    <xf numFmtId="0" fontId="7" fillId="19" borderId="25" xfId="0" applyFont="1" applyFill="1" applyBorder="1" applyAlignment="1" applyProtection="1">
      <alignment vertical="center" wrapText="1"/>
      <protection/>
    </xf>
    <xf numFmtId="0" fontId="6" fillId="13" borderId="28" xfId="0" applyFont="1" applyFill="1" applyBorder="1" applyAlignment="1" applyProtection="1">
      <alignment horizontal="right" vertical="center"/>
      <protection/>
    </xf>
    <xf numFmtId="0" fontId="6" fillId="13" borderId="30" xfId="0" applyFont="1" applyFill="1" applyBorder="1" applyAlignment="1" applyProtection="1">
      <alignment vertical="center"/>
      <protection/>
    </xf>
    <xf numFmtId="0" fontId="6" fillId="38" borderId="31" xfId="0" applyFont="1" applyFill="1" applyBorder="1" applyAlignment="1" applyProtection="1">
      <alignment horizontal="right" vertical="center"/>
      <protection locked="0"/>
    </xf>
    <xf numFmtId="0" fontId="6" fillId="13" borderId="32" xfId="0" applyFont="1" applyFill="1" applyBorder="1" applyAlignment="1" applyProtection="1">
      <alignment vertical="center"/>
      <protection/>
    </xf>
    <xf numFmtId="180" fontId="6" fillId="38" borderId="31" xfId="0" applyNumberFormat="1" applyFont="1" applyFill="1" applyBorder="1" applyAlignment="1" applyProtection="1">
      <alignment horizontal="right" vertical="center"/>
      <protection/>
    </xf>
    <xf numFmtId="0" fontId="6" fillId="13" borderId="33" xfId="0" applyFont="1" applyFill="1" applyBorder="1" applyAlignment="1" applyProtection="1">
      <alignment vertical="center"/>
      <protection/>
    </xf>
    <xf numFmtId="0" fontId="6" fillId="13" borderId="34" xfId="0" applyFont="1" applyFill="1" applyBorder="1" applyAlignment="1" applyProtection="1">
      <alignment vertical="center"/>
      <protection/>
    </xf>
    <xf numFmtId="0" fontId="6" fillId="13" borderId="10" xfId="0" applyFont="1" applyFill="1" applyBorder="1" applyAlignment="1" applyProtection="1">
      <alignment vertical="center"/>
      <protection/>
    </xf>
    <xf numFmtId="0" fontId="7" fillId="19" borderId="35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6" fillId="16" borderId="24" xfId="0" applyFont="1" applyFill="1" applyBorder="1" applyAlignment="1" applyProtection="1">
      <alignment vertical="center"/>
      <protection/>
    </xf>
    <xf numFmtId="0" fontId="6" fillId="16" borderId="24" xfId="0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6" fillId="11" borderId="24" xfId="0" applyFont="1" applyFill="1" applyBorder="1" applyAlignment="1" applyProtection="1">
      <alignment vertical="center"/>
      <protection/>
    </xf>
    <xf numFmtId="182" fontId="6" fillId="39" borderId="23" xfId="0" applyNumberFormat="1" applyFont="1" applyFill="1" applyBorder="1" applyAlignment="1" applyProtection="1">
      <alignment horizontal="right" vertical="center"/>
      <protection/>
    </xf>
    <xf numFmtId="0" fontId="6" fillId="16" borderId="36" xfId="0" applyFont="1" applyFill="1" applyBorder="1" applyAlignment="1" applyProtection="1">
      <alignment vertical="center"/>
      <protection/>
    </xf>
    <xf numFmtId="182" fontId="6" fillId="39" borderId="23" xfId="0" applyNumberFormat="1" applyFont="1" applyFill="1" applyBorder="1" applyAlignment="1">
      <alignment horizontal="right"/>
    </xf>
    <xf numFmtId="182" fontId="6" fillId="39" borderId="23" xfId="0" applyNumberFormat="1" applyFont="1" applyFill="1" applyBorder="1" applyAlignment="1">
      <alignment horizontal="right" vertical="center"/>
    </xf>
    <xf numFmtId="0" fontId="6" fillId="16" borderId="36" xfId="0" applyFont="1" applyFill="1" applyBorder="1" applyAlignment="1">
      <alignment/>
    </xf>
    <xf numFmtId="0" fontId="6" fillId="16" borderId="36" xfId="0" applyFont="1" applyFill="1" applyBorder="1" applyAlignment="1">
      <alignment vertical="center"/>
    </xf>
    <xf numFmtId="183" fontId="6" fillId="11" borderId="23" xfId="57" applyNumberFormat="1" applyFont="1" applyFill="1" applyBorder="1" applyAlignment="1">
      <alignment horizontal="right" vertical="center"/>
    </xf>
    <xf numFmtId="180" fontId="6" fillId="11" borderId="23" xfId="0" applyNumberFormat="1" applyFont="1" applyFill="1" applyBorder="1" applyAlignment="1">
      <alignment horizontal="right" vertical="center"/>
    </xf>
    <xf numFmtId="0" fontId="6" fillId="11" borderId="36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vertical="center"/>
      <protection/>
    </xf>
    <xf numFmtId="169" fontId="6" fillId="0" borderId="0" xfId="57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9" fontId="6" fillId="0" borderId="0" xfId="57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895350</xdr:colOff>
      <xdr:row>0</xdr:row>
      <xdr:rowOff>19050</xdr:rowOff>
    </xdr:from>
    <xdr:ext cx="0" cy="1295400"/>
    <xdr:sp>
      <xdr:nvSpPr>
        <xdr:cNvPr id="1" name="Grafik 2"/>
        <xdr:cNvSpPr>
          <a:spLocks noChangeAspect="1"/>
        </xdr:cNvSpPr>
      </xdr:nvSpPr>
      <xdr:spPr>
        <a:xfrm>
          <a:off x="4419600" y="19050"/>
          <a:ext cx="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0</xdr:row>
      <xdr:rowOff>0</xdr:rowOff>
    </xdr:from>
    <xdr:ext cx="1981200" cy="1295400"/>
    <xdr:sp>
      <xdr:nvSpPr>
        <xdr:cNvPr id="1" name="Grafik 5"/>
        <xdr:cNvSpPr>
          <a:spLocks noChangeAspect="1"/>
        </xdr:cNvSpPr>
      </xdr:nvSpPr>
      <xdr:spPr>
        <a:xfrm>
          <a:off x="4200525" y="0"/>
          <a:ext cx="1981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showOutlineSymbols="0" view="pageLayout" zoomScale="86" zoomScaleNormal="145" zoomScaleSheetLayoutView="96" zoomScalePageLayoutView="86" workbookViewId="0" topLeftCell="A1">
      <selection activeCell="C8" sqref="C8"/>
    </sheetView>
  </sheetViews>
  <sheetFormatPr defaultColWidth="0" defaultRowHeight="15" zeroHeight="1"/>
  <cols>
    <col min="1" max="1" width="8.8515625" style="80" customWidth="1"/>
    <col min="2" max="2" width="23.57421875" style="81" customWidth="1"/>
    <col min="3" max="3" width="11.8515625" style="87" customWidth="1"/>
    <col min="4" max="4" width="8.57421875" style="81" customWidth="1"/>
    <col min="5" max="5" width="38.140625" style="81" customWidth="1"/>
    <col min="6" max="6" width="4.57421875" style="81" hidden="1" customWidth="1"/>
    <col min="7" max="7" width="30.00390625" style="81" hidden="1" customWidth="1"/>
    <col min="8" max="8" width="7.140625" style="80" hidden="1" customWidth="1"/>
    <col min="9" max="9" width="30.00390625" style="81" hidden="1" customWidth="1"/>
    <col min="10" max="10" width="11.7109375" style="81" hidden="1" customWidth="1"/>
    <col min="11" max="11" width="13.7109375" style="81" hidden="1" customWidth="1"/>
    <col min="12" max="16384" width="11.421875" style="81" hidden="1" customWidth="1"/>
  </cols>
  <sheetData>
    <row r="1" spans="1:9" ht="16.5" customHeight="1" thickBot="1">
      <c r="A1" s="118" t="s">
        <v>69</v>
      </c>
      <c r="B1" s="119">
        <v>20110.37</v>
      </c>
      <c r="C1" s="120"/>
      <c r="D1" s="80"/>
      <c r="E1" s="80"/>
      <c r="F1" s="80"/>
      <c r="G1" s="80"/>
      <c r="I1" s="80"/>
    </row>
    <row r="2" spans="1:9" ht="16.5" customHeight="1" thickBot="1">
      <c r="A2" s="121" t="s">
        <v>68</v>
      </c>
      <c r="B2" s="119" t="s">
        <v>72</v>
      </c>
      <c r="C2" s="120"/>
      <c r="D2" s="80"/>
      <c r="E2" s="80"/>
      <c r="F2" s="80"/>
      <c r="G2" s="80"/>
      <c r="I2" s="80"/>
    </row>
    <row r="3" spans="1:9" ht="16.5" customHeight="1" thickBot="1">
      <c r="A3" s="121" t="s">
        <v>70</v>
      </c>
      <c r="B3" s="119" t="s">
        <v>73</v>
      </c>
      <c r="C3" s="120"/>
      <c r="D3" s="80"/>
      <c r="E3" s="80"/>
      <c r="F3" s="80"/>
      <c r="G3" s="80"/>
      <c r="I3" s="80"/>
    </row>
    <row r="4" spans="1:9" ht="16.5" customHeight="1" thickBot="1">
      <c r="A4" s="121" t="s">
        <v>71</v>
      </c>
      <c r="B4" s="119" t="s">
        <v>74</v>
      </c>
      <c r="C4" s="120"/>
      <c r="D4" s="80"/>
      <c r="E4" s="80"/>
      <c r="F4" s="80"/>
      <c r="G4" s="80"/>
      <c r="I4" s="80"/>
    </row>
    <row r="5" spans="1:9" ht="18">
      <c r="A5" s="117"/>
      <c r="B5" s="115"/>
      <c r="C5" s="116"/>
      <c r="D5" s="80"/>
      <c r="E5" s="80"/>
      <c r="F5" s="80"/>
      <c r="G5" s="80"/>
      <c r="I5" s="80"/>
    </row>
    <row r="6" spans="1:9" ht="27.75" customHeight="1">
      <c r="A6" s="79"/>
      <c r="B6" s="113" t="s">
        <v>75</v>
      </c>
      <c r="D6" s="80"/>
      <c r="F6" s="80"/>
      <c r="G6" s="80"/>
      <c r="I6" s="80"/>
    </row>
    <row r="7" spans="1:10" ht="27.75" customHeight="1">
      <c r="A7" s="81"/>
      <c r="B7" s="80"/>
      <c r="D7" s="80"/>
      <c r="E7" s="170" t="s">
        <v>63</v>
      </c>
      <c r="F7" s="80"/>
      <c r="G7" s="80"/>
      <c r="I7" s="80"/>
      <c r="J7" s="80"/>
    </row>
    <row r="8" spans="1:5" ht="27.75" customHeight="1">
      <c r="A8" s="96" t="s">
        <v>76</v>
      </c>
      <c r="B8" s="97"/>
      <c r="C8" s="125">
        <v>20</v>
      </c>
      <c r="D8" s="98" t="s">
        <v>18</v>
      </c>
      <c r="E8" s="122"/>
    </row>
    <row r="9" spans="1:5" ht="27.75" customHeight="1">
      <c r="A9" s="96" t="s">
        <v>77</v>
      </c>
      <c r="B9" s="97"/>
      <c r="C9" s="114">
        <v>60</v>
      </c>
      <c r="D9" s="98" t="s">
        <v>18</v>
      </c>
      <c r="E9" s="123" t="s">
        <v>84</v>
      </c>
    </row>
    <row r="10" spans="1:8" ht="27.75" customHeight="1">
      <c r="A10" s="96" t="s">
        <v>79</v>
      </c>
      <c r="B10" s="99"/>
      <c r="C10" s="114">
        <v>60</v>
      </c>
      <c r="D10" s="98" t="s">
        <v>42</v>
      </c>
      <c r="E10" s="123" t="s">
        <v>67</v>
      </c>
      <c r="G10" s="88"/>
      <c r="H10" s="81"/>
    </row>
    <row r="11" spans="1:8" ht="27.75" customHeight="1">
      <c r="A11" s="96" t="s">
        <v>78</v>
      </c>
      <c r="B11" s="99"/>
      <c r="C11" s="114">
        <v>50</v>
      </c>
      <c r="D11" s="98" t="s">
        <v>42</v>
      </c>
      <c r="E11" s="124" t="s">
        <v>85</v>
      </c>
      <c r="G11" s="88"/>
      <c r="H11" s="89"/>
    </row>
    <row r="12" spans="1:5" ht="27.75" customHeight="1">
      <c r="A12" s="96" t="s">
        <v>80</v>
      </c>
      <c r="B12" s="97"/>
      <c r="C12" s="114">
        <v>1</v>
      </c>
      <c r="D12" s="98" t="s">
        <v>46</v>
      </c>
      <c r="E12" s="124" t="s">
        <v>86</v>
      </c>
    </row>
    <row r="13" spans="1:5" ht="27.75" customHeight="1">
      <c r="A13" s="100" t="s">
        <v>81</v>
      </c>
      <c r="B13" s="97"/>
      <c r="C13" s="114">
        <v>185</v>
      </c>
      <c r="D13" s="98" t="s">
        <v>82</v>
      </c>
      <c r="E13" s="123" t="s">
        <v>87</v>
      </c>
    </row>
    <row r="14" spans="1:5" ht="27.75" customHeight="1">
      <c r="A14" s="78"/>
      <c r="B14" s="95"/>
      <c r="C14" s="95"/>
      <c r="D14" s="78"/>
      <c r="E14" s="85"/>
    </row>
    <row r="15" spans="1:5" ht="27.75" customHeight="1">
      <c r="A15" s="78"/>
      <c r="B15" s="112" t="s">
        <v>83</v>
      </c>
      <c r="C15" s="95"/>
      <c r="D15" s="78"/>
      <c r="E15" s="85"/>
    </row>
    <row r="16" spans="1:9" ht="27.75" customHeight="1" thickBot="1">
      <c r="A16" s="78"/>
      <c r="B16" s="95"/>
      <c r="C16" s="95"/>
      <c r="D16" s="78"/>
      <c r="E16" s="85"/>
      <c r="G16" s="90"/>
      <c r="I16" s="90"/>
    </row>
    <row r="17" spans="1:9" ht="27.75" customHeight="1" thickBot="1">
      <c r="A17" s="102" t="s">
        <v>88</v>
      </c>
      <c r="B17" s="103"/>
      <c r="C17" s="206">
        <f>Hilfstool!C8*(C9-C8)*C12</f>
        <v>90.31538773591015</v>
      </c>
      <c r="D17" s="208" t="s">
        <v>58</v>
      </c>
      <c r="E17" s="101"/>
      <c r="G17" s="216"/>
      <c r="H17" s="216"/>
      <c r="I17" s="216"/>
    </row>
    <row r="18" spans="1:8" ht="27.75" customHeight="1" thickBot="1">
      <c r="A18" s="104" t="s">
        <v>89</v>
      </c>
      <c r="B18" s="105"/>
      <c r="C18" s="206">
        <f>Hilfstool!C18*(C9-C8)*C12</f>
        <v>8.485861424719607</v>
      </c>
      <c r="D18" s="208" t="s">
        <v>58</v>
      </c>
      <c r="E18" s="101"/>
      <c r="H18" s="81"/>
    </row>
    <row r="19" spans="1:8" ht="27.75" customHeight="1" thickBot="1">
      <c r="A19" s="106" t="s">
        <v>90</v>
      </c>
      <c r="B19" s="103"/>
      <c r="C19" s="207">
        <f>C17-C18</f>
        <v>81.82952631119055</v>
      </c>
      <c r="D19" s="209" t="s">
        <v>58</v>
      </c>
      <c r="E19" s="101"/>
      <c r="H19" s="81"/>
    </row>
    <row r="20" spans="1:5" ht="27.75" customHeight="1" thickBot="1">
      <c r="A20" s="78"/>
      <c r="B20" s="78"/>
      <c r="C20" s="95"/>
      <c r="D20" s="78"/>
      <c r="E20" s="94"/>
    </row>
    <row r="21" spans="1:5" ht="27.75" customHeight="1" thickBot="1">
      <c r="A21" s="102" t="s">
        <v>91</v>
      </c>
      <c r="B21" s="103"/>
      <c r="C21" s="206">
        <f>(C19*(C13*18))/1000</f>
        <v>272.4923226162645</v>
      </c>
      <c r="D21" s="208" t="s">
        <v>64</v>
      </c>
      <c r="E21" s="101"/>
    </row>
    <row r="22" spans="1:12" ht="27.75" customHeight="1" thickBot="1">
      <c r="A22" s="102" t="s">
        <v>91</v>
      </c>
      <c r="B22" s="105"/>
      <c r="C22" s="206">
        <f>C21*Hilfstool!B39</f>
        <v>24.524309035463805</v>
      </c>
      <c r="D22" s="208" t="s">
        <v>92</v>
      </c>
      <c r="E22" s="101" t="s">
        <v>93</v>
      </c>
      <c r="H22" s="81"/>
      <c r="K22" s="91"/>
      <c r="L22" s="91"/>
    </row>
    <row r="23" spans="1:10" ht="27.75" customHeight="1">
      <c r="A23" s="78"/>
      <c r="B23" s="78"/>
      <c r="C23" s="214"/>
      <c r="D23" s="215"/>
      <c r="E23" s="86"/>
      <c r="F23" s="82"/>
      <c r="G23" s="83"/>
      <c r="H23" s="83"/>
      <c r="I23" s="84"/>
      <c r="J23" s="83"/>
    </row>
    <row r="24" spans="1:10" ht="27.75" customHeight="1">
      <c r="A24" s="78"/>
      <c r="B24" s="127" t="s">
        <v>65</v>
      </c>
      <c r="C24" s="214"/>
      <c r="D24" s="215"/>
      <c r="E24" s="86"/>
      <c r="F24" s="82"/>
      <c r="G24" s="83"/>
      <c r="H24" s="83"/>
      <c r="I24" s="84"/>
      <c r="J24" s="83"/>
    </row>
    <row r="25" spans="1:5" ht="27.75" customHeight="1" thickBot="1">
      <c r="A25" s="78"/>
      <c r="B25" s="78"/>
      <c r="C25" s="95"/>
      <c r="D25" s="78"/>
      <c r="E25" s="85"/>
    </row>
    <row r="26" spans="1:5" ht="27.75" customHeight="1" thickBot="1">
      <c r="A26" s="108" t="s">
        <v>94</v>
      </c>
      <c r="B26" s="109"/>
      <c r="C26" s="210">
        <f>IF(C10=22,Hilfstool!B25*Conduits!C12,IF(C10=28,Hilfstool!B26*Conduits!C12,IF(C10=35,Hilfstool!B27*Conduits!C12,IF(C10=42,Hilfstool!B28*Conduits!C12,IF(C10=60,Hilfstool!B29*Conduits!C12,IF(C10=76,Hilfstool!B30*Conduits!C12,IF(C10=89,Hilfstool!B31*Conduits!C12,)))))))</f>
        <v>45</v>
      </c>
      <c r="D26" s="212" t="s">
        <v>66</v>
      </c>
      <c r="E26" s="107" t="s">
        <v>97</v>
      </c>
    </row>
    <row r="27" spans="1:8" s="92" customFormat="1" ht="27.75" customHeight="1" thickBot="1">
      <c r="A27" s="110" t="s">
        <v>95</v>
      </c>
      <c r="B27" s="111"/>
      <c r="C27" s="211">
        <f>IF(C26="","",C26/C$22)</f>
        <v>1.834914081979923</v>
      </c>
      <c r="D27" s="212" t="s">
        <v>96</v>
      </c>
      <c r="E27" s="107" t="s">
        <v>98</v>
      </c>
      <c r="H27" s="80"/>
    </row>
    <row r="28" spans="1:5" ht="18" hidden="1">
      <c r="A28" s="81"/>
      <c r="E28" s="85"/>
    </row>
    <row r="29" spans="1:5" ht="18" hidden="1">
      <c r="A29" s="81"/>
      <c r="E29" s="85"/>
    </row>
    <row r="30" spans="1:5" ht="18" hidden="1">
      <c r="A30" s="81"/>
      <c r="E30" s="85"/>
    </row>
    <row r="31" spans="1:5" ht="18" hidden="1">
      <c r="A31" s="81"/>
      <c r="E31" s="85"/>
    </row>
    <row r="32" spans="1:5" ht="18" hidden="1">
      <c r="A32" s="81"/>
      <c r="E32" s="85"/>
    </row>
    <row r="33" spans="1:5" ht="18" hidden="1">
      <c r="A33" s="81"/>
      <c r="E33" s="85"/>
    </row>
    <row r="34" spans="1:5" ht="18" hidden="1">
      <c r="A34" s="81"/>
      <c r="E34" s="85"/>
    </row>
    <row r="35" spans="1:5" ht="18" hidden="1">
      <c r="A35" s="81"/>
      <c r="E35" s="85"/>
    </row>
    <row r="36" spans="1:5" ht="18" hidden="1">
      <c r="A36" s="81"/>
      <c r="E36" s="85"/>
    </row>
    <row r="37" spans="1:8" ht="18" hidden="1">
      <c r="A37" s="81"/>
      <c r="E37" s="85"/>
      <c r="H37" s="81"/>
    </row>
    <row r="38" spans="1:8" ht="18" hidden="1">
      <c r="A38" s="81"/>
      <c r="E38" s="85"/>
      <c r="H38" s="81"/>
    </row>
    <row r="39" spans="1:8" ht="18" hidden="1">
      <c r="A39" s="81"/>
      <c r="B39" s="93"/>
      <c r="E39" s="85"/>
      <c r="H39" s="81"/>
    </row>
    <row r="40" spans="1:8" ht="18" hidden="1">
      <c r="A40" s="81"/>
      <c r="E40" s="85"/>
      <c r="H40" s="81"/>
    </row>
    <row r="41" spans="1:8" ht="18" hidden="1">
      <c r="A41" s="81"/>
      <c r="E41" s="85"/>
      <c r="H41" s="81"/>
    </row>
    <row r="42" spans="1:8" ht="18" hidden="1">
      <c r="A42" s="81"/>
      <c r="E42" s="85"/>
      <c r="H42" s="81"/>
    </row>
    <row r="43" spans="1:8" ht="18" hidden="1">
      <c r="A43" s="81"/>
      <c r="E43" s="85"/>
      <c r="H43" s="81"/>
    </row>
    <row r="44" spans="1:8" ht="18" hidden="1">
      <c r="A44" s="81"/>
      <c r="E44" s="85"/>
      <c r="H44" s="81"/>
    </row>
    <row r="45" spans="1:8" ht="18" hidden="1">
      <c r="A45" s="81"/>
      <c r="E45" s="85"/>
      <c r="H45" s="81"/>
    </row>
    <row r="46" spans="1:8" ht="18" hidden="1">
      <c r="A46" s="81"/>
      <c r="E46" s="85"/>
      <c r="H46" s="81"/>
    </row>
    <row r="47" spans="1:8" ht="18" hidden="1">
      <c r="A47" s="81"/>
      <c r="E47" s="85"/>
      <c r="H47" s="81"/>
    </row>
    <row r="48" spans="1:8" ht="18" hidden="1">
      <c r="A48" s="81"/>
      <c r="E48" s="85"/>
      <c r="H48" s="81"/>
    </row>
    <row r="49" spans="1:8" ht="18" hidden="1">
      <c r="A49" s="81"/>
      <c r="E49" s="85"/>
      <c r="H49" s="81"/>
    </row>
    <row r="50" spans="1:8" ht="18" hidden="1">
      <c r="A50" s="81"/>
      <c r="E50" s="85"/>
      <c r="H50" s="81"/>
    </row>
    <row r="51" spans="1:8" ht="18" hidden="1">
      <c r="A51" s="81"/>
      <c r="H51" s="81"/>
    </row>
    <row r="52" ht="18" hidden="1"/>
    <row r="53" ht="18"/>
  </sheetData>
  <sheetProtection password="CE93" sheet="1" selectLockedCells="1"/>
  <protectedRanges>
    <protectedRange sqref="C8:C13 H11" name="Bereich1"/>
  </protectedRanges>
  <mergeCells count="3">
    <mergeCell ref="C24:D24"/>
    <mergeCell ref="G17:I17"/>
    <mergeCell ref="C23:D23"/>
  </mergeCells>
  <printOptions gridLines="1" headings="1"/>
  <pageMargins left="0.25" right="0.25" top="0.75" bottom="0.75" header="0.3" footer="0.3"/>
  <pageSetup horizontalDpi="600" verticalDpi="600" orientation="portrait" pageOrder="overThenDown" paperSize="9" r:id="rId2"/>
  <headerFooter>
    <oddHeader>&amp;C&amp;"-,Fett"&amp;14Calculation des déperditions thermiques pour canalisations de Chauffage et d'eau chaud</oddHeader>
    <oddFooter>&amp;C&amp;"-,Fett"&amp;20ISOLSUISSE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showGridLines="0" showRowColHeaders="0" view="pageLayout" zoomScaleNormal="145" zoomScaleSheetLayoutView="96" workbookViewId="0" topLeftCell="A1">
      <selection activeCell="C11" sqref="C11"/>
    </sheetView>
  </sheetViews>
  <sheetFormatPr defaultColWidth="0" defaultRowHeight="0" customHeight="1" zeroHeight="1"/>
  <cols>
    <col min="1" max="1" width="8.8515625" style="174" customWidth="1"/>
    <col min="2" max="2" width="23.7109375" style="179" customWidth="1"/>
    <col min="3" max="3" width="11.57421875" style="163" customWidth="1"/>
    <col min="4" max="4" width="9.8515625" style="179" customWidth="1"/>
    <col min="5" max="5" width="40.140625" style="179" customWidth="1"/>
    <col min="6" max="6" width="6.28125" style="132" hidden="1" customWidth="1"/>
    <col min="7" max="7" width="33.7109375" style="132" hidden="1" customWidth="1"/>
    <col min="8" max="8" width="14.00390625" style="161" hidden="1" customWidth="1"/>
    <col min="9" max="9" width="13.7109375" style="132" hidden="1" customWidth="1"/>
    <col min="10" max="10" width="8.7109375" style="132" hidden="1" customWidth="1"/>
    <col min="11" max="11" width="13.7109375" style="132" hidden="1" customWidth="1"/>
    <col min="12" max="14" width="0" style="132" hidden="1" customWidth="1"/>
    <col min="15" max="16384" width="0" style="132" hidden="1" customWidth="1"/>
  </cols>
  <sheetData>
    <row r="1" spans="1:10" ht="16.5" customHeight="1" thickBot="1">
      <c r="A1" s="118" t="s">
        <v>69</v>
      </c>
      <c r="B1" s="119">
        <v>20110.37</v>
      </c>
      <c r="C1" s="173"/>
      <c r="D1" s="174"/>
      <c r="E1" s="174"/>
      <c r="F1" s="129"/>
      <c r="G1" s="130"/>
      <c r="H1" s="131"/>
      <c r="I1" s="128"/>
      <c r="J1" s="128"/>
    </row>
    <row r="2" spans="1:10" ht="16.5" customHeight="1" thickBot="1">
      <c r="A2" s="121" t="s">
        <v>68</v>
      </c>
      <c r="B2" s="119" t="s">
        <v>72</v>
      </c>
      <c r="C2" s="173"/>
      <c r="D2" s="174"/>
      <c r="E2" s="174"/>
      <c r="F2" s="130"/>
      <c r="G2" s="130"/>
      <c r="H2" s="131"/>
      <c r="I2" s="128"/>
      <c r="J2" s="128"/>
    </row>
    <row r="3" spans="1:10" ht="16.5" customHeight="1" thickBot="1">
      <c r="A3" s="121" t="s">
        <v>70</v>
      </c>
      <c r="B3" s="119" t="s">
        <v>73</v>
      </c>
      <c r="C3" s="173"/>
      <c r="D3" s="174"/>
      <c r="E3" s="174"/>
      <c r="F3" s="130"/>
      <c r="G3" s="130"/>
      <c r="H3" s="131"/>
      <c r="I3" s="128"/>
      <c r="J3" s="128"/>
    </row>
    <row r="4" spans="1:10" ht="16.5" customHeight="1" thickBot="1">
      <c r="A4" s="121" t="s">
        <v>71</v>
      </c>
      <c r="B4" s="119" t="s">
        <v>74</v>
      </c>
      <c r="C4" s="173"/>
      <c r="D4" s="174"/>
      <c r="E4" s="174"/>
      <c r="F4" s="130"/>
      <c r="G4" s="130"/>
      <c r="H4" s="131"/>
      <c r="I4" s="128"/>
      <c r="J4" s="128"/>
    </row>
    <row r="5" spans="1:10" ht="27.75" customHeight="1">
      <c r="A5" s="175"/>
      <c r="B5" s="176"/>
      <c r="C5" s="177"/>
      <c r="D5" s="174"/>
      <c r="E5" s="174"/>
      <c r="F5" s="130"/>
      <c r="G5" s="133"/>
      <c r="H5" s="131"/>
      <c r="I5" s="128"/>
      <c r="J5" s="128"/>
    </row>
    <row r="6" spans="1:10" ht="21" customHeight="1">
      <c r="A6" s="178"/>
      <c r="B6" s="113" t="s">
        <v>75</v>
      </c>
      <c r="D6" s="174"/>
      <c r="F6" s="134"/>
      <c r="G6" s="135"/>
      <c r="H6" s="126"/>
      <c r="I6" s="128"/>
      <c r="J6" s="136"/>
    </row>
    <row r="7" spans="1:10" ht="12" customHeight="1" thickBot="1">
      <c r="A7" s="179"/>
      <c r="B7" s="174"/>
      <c r="D7" s="174"/>
      <c r="E7" s="180" t="s">
        <v>63</v>
      </c>
      <c r="F7" s="136"/>
      <c r="G7" s="128"/>
      <c r="H7" s="126"/>
      <c r="I7" s="128"/>
      <c r="J7" s="137"/>
    </row>
    <row r="8" spans="1:10" ht="27.75" customHeight="1">
      <c r="A8" s="96" t="s">
        <v>76</v>
      </c>
      <c r="B8" s="181"/>
      <c r="C8" s="182">
        <v>20</v>
      </c>
      <c r="D8" s="183" t="s">
        <v>18</v>
      </c>
      <c r="E8" s="184"/>
      <c r="F8" s="138"/>
      <c r="G8" s="153"/>
      <c r="H8" s="139"/>
      <c r="I8" s="153"/>
      <c r="J8" s="140"/>
    </row>
    <row r="9" spans="1:10" ht="27.75" customHeight="1">
      <c r="A9" s="96" t="s">
        <v>77</v>
      </c>
      <c r="B9" s="186"/>
      <c r="C9" s="187">
        <v>80</v>
      </c>
      <c r="D9" s="183" t="s">
        <v>18</v>
      </c>
      <c r="E9" s="188" t="s">
        <v>84</v>
      </c>
      <c r="F9" s="138"/>
      <c r="G9" s="153"/>
      <c r="H9" s="141"/>
      <c r="I9" s="153"/>
      <c r="J9" s="140"/>
    </row>
    <row r="10" spans="1:10" ht="27.75" customHeight="1">
      <c r="A10" s="185" t="s">
        <v>101</v>
      </c>
      <c r="B10" s="189"/>
      <c r="C10" s="187">
        <v>1200</v>
      </c>
      <c r="D10" s="183" t="s">
        <v>42</v>
      </c>
      <c r="E10" s="188"/>
      <c r="F10" s="138"/>
      <c r="G10" s="153"/>
      <c r="H10" s="141"/>
      <c r="I10" s="153"/>
      <c r="J10" s="140"/>
    </row>
    <row r="11" spans="1:10" ht="27.75" customHeight="1">
      <c r="A11" s="185" t="s">
        <v>102</v>
      </c>
      <c r="B11" s="189"/>
      <c r="C11" s="187">
        <v>2500</v>
      </c>
      <c r="D11" s="183" t="s">
        <v>42</v>
      </c>
      <c r="E11" s="142"/>
      <c r="F11" s="138"/>
      <c r="G11" s="153"/>
      <c r="H11" s="141"/>
      <c r="I11" s="153"/>
      <c r="J11" s="140"/>
    </row>
    <row r="12" spans="1:10" ht="27.75" customHeight="1">
      <c r="A12" s="190" t="s">
        <v>78</v>
      </c>
      <c r="B12" s="186"/>
      <c r="C12" s="191">
        <v>120</v>
      </c>
      <c r="D12" s="192" t="s">
        <v>42</v>
      </c>
      <c r="E12" s="142" t="s">
        <v>85</v>
      </c>
      <c r="F12" s="138"/>
      <c r="G12" s="141"/>
      <c r="H12" s="141"/>
      <c r="I12" s="153"/>
      <c r="J12" s="140"/>
    </row>
    <row r="13" spans="1:10" ht="27.75" customHeight="1" thickBot="1">
      <c r="A13" s="185" t="s">
        <v>103</v>
      </c>
      <c r="B13" s="186"/>
      <c r="C13" s="193">
        <f>(((C10+C12+C12)*3.14*C11)/1000000)+(((C10+C12+C12)/2/1000)*((C10+C12+C12)/2/1000)*3.14)*2</f>
        <v>14.559552</v>
      </c>
      <c r="D13" s="183"/>
      <c r="E13" s="142"/>
      <c r="F13" s="138"/>
      <c r="G13" s="141"/>
      <c r="H13" s="141"/>
      <c r="I13" s="153"/>
      <c r="J13" s="143"/>
    </row>
    <row r="14" spans="1:10" ht="27.75" customHeight="1" thickBot="1">
      <c r="A14" s="194" t="s">
        <v>81</v>
      </c>
      <c r="B14" s="195"/>
      <c r="C14" s="182">
        <v>185</v>
      </c>
      <c r="D14" s="196" t="s">
        <v>82</v>
      </c>
      <c r="E14" s="197" t="s">
        <v>104</v>
      </c>
      <c r="F14" s="153"/>
      <c r="G14" s="153"/>
      <c r="H14" s="141"/>
      <c r="I14" s="153"/>
      <c r="J14" s="140"/>
    </row>
    <row r="15" spans="1:10" ht="27.75" customHeight="1">
      <c r="A15" s="150"/>
      <c r="B15" s="198"/>
      <c r="C15" s="165"/>
      <c r="D15" s="150"/>
      <c r="E15" s="143"/>
      <c r="F15" s="153"/>
      <c r="G15" s="141"/>
      <c r="H15" s="141"/>
      <c r="I15" s="153"/>
      <c r="J15" s="140"/>
    </row>
    <row r="16" spans="1:10" ht="27.75" customHeight="1">
      <c r="A16" s="150"/>
      <c r="B16" s="199" t="s">
        <v>99</v>
      </c>
      <c r="C16" s="198"/>
      <c r="D16" s="150"/>
      <c r="E16" s="143"/>
      <c r="F16" s="153"/>
      <c r="G16" s="146"/>
      <c r="H16" s="141"/>
      <c r="I16" s="153"/>
      <c r="J16" s="140"/>
    </row>
    <row r="17" spans="1:256" ht="10.5" customHeight="1" thickBot="1">
      <c r="A17" s="150"/>
      <c r="B17" s="198"/>
      <c r="C17" s="198"/>
      <c r="D17" s="150"/>
      <c r="E17" s="143"/>
      <c r="F17" s="144"/>
      <c r="G17" s="141"/>
      <c r="H17" s="141"/>
      <c r="I17" s="144"/>
      <c r="J17" s="145"/>
      <c r="K17" s="144"/>
      <c r="L17" s="141"/>
      <c r="M17" s="141"/>
      <c r="N17" s="144"/>
      <c r="O17" s="145"/>
      <c r="P17" s="144"/>
      <c r="Q17" s="141"/>
      <c r="R17" s="141"/>
      <c r="S17" s="144"/>
      <c r="T17" s="145"/>
      <c r="U17" s="144"/>
      <c r="V17" s="141"/>
      <c r="W17" s="141"/>
      <c r="X17" s="144"/>
      <c r="Y17" s="145"/>
      <c r="Z17" s="144"/>
      <c r="AA17" s="141"/>
      <c r="AB17" s="141"/>
      <c r="AC17" s="144"/>
      <c r="AD17" s="145"/>
      <c r="AE17" s="144"/>
      <c r="AF17" s="141"/>
      <c r="AG17" s="141"/>
      <c r="AH17" s="144"/>
      <c r="AI17" s="145"/>
      <c r="AJ17" s="144"/>
      <c r="AK17" s="141"/>
      <c r="AL17" s="141"/>
      <c r="AM17" s="144"/>
      <c r="AN17" s="145"/>
      <c r="AO17" s="144"/>
      <c r="AP17" s="141"/>
      <c r="AQ17" s="141"/>
      <c r="AR17" s="144"/>
      <c r="AS17" s="145"/>
      <c r="AT17" s="144"/>
      <c r="AU17" s="141"/>
      <c r="AV17" s="141"/>
      <c r="AW17" s="144"/>
      <c r="AX17" s="145"/>
      <c r="AY17" s="144"/>
      <c r="AZ17" s="141"/>
      <c r="BA17" s="141"/>
      <c r="BB17" s="144"/>
      <c r="BC17" s="145"/>
      <c r="BD17" s="144"/>
      <c r="BE17" s="141"/>
      <c r="BF17" s="141"/>
      <c r="BG17" s="144"/>
      <c r="BH17" s="145"/>
      <c r="BI17" s="144"/>
      <c r="BJ17" s="141"/>
      <c r="BK17" s="141"/>
      <c r="BL17" s="144"/>
      <c r="BM17" s="145"/>
      <c r="BN17" s="144"/>
      <c r="BO17" s="141"/>
      <c r="BP17" s="141"/>
      <c r="BQ17" s="144"/>
      <c r="BR17" s="145"/>
      <c r="BS17" s="144"/>
      <c r="BT17" s="141"/>
      <c r="BU17" s="141"/>
      <c r="BV17" s="144"/>
      <c r="BW17" s="145"/>
      <c r="BX17" s="144"/>
      <c r="BY17" s="141"/>
      <c r="BZ17" s="141"/>
      <c r="CA17" s="144"/>
      <c r="CB17" s="145"/>
      <c r="CC17" s="144"/>
      <c r="CD17" s="141"/>
      <c r="CE17" s="141"/>
      <c r="CF17" s="144"/>
      <c r="CG17" s="145"/>
      <c r="CH17" s="144"/>
      <c r="CI17" s="141"/>
      <c r="CJ17" s="141"/>
      <c r="CK17" s="144"/>
      <c r="CL17" s="145"/>
      <c r="CM17" s="144"/>
      <c r="CN17" s="141"/>
      <c r="CO17" s="141"/>
      <c r="CP17" s="144"/>
      <c r="CQ17" s="145"/>
      <c r="CR17" s="144"/>
      <c r="CS17" s="141"/>
      <c r="CT17" s="141"/>
      <c r="CU17" s="144"/>
      <c r="CV17" s="145"/>
      <c r="CW17" s="144"/>
      <c r="CX17" s="141"/>
      <c r="CY17" s="141"/>
      <c r="CZ17" s="144"/>
      <c r="DA17" s="145"/>
      <c r="DB17" s="144"/>
      <c r="DC17" s="141"/>
      <c r="DD17" s="141"/>
      <c r="DE17" s="144"/>
      <c r="DF17" s="145"/>
      <c r="DG17" s="144"/>
      <c r="DH17" s="141"/>
      <c r="DI17" s="141"/>
      <c r="DJ17" s="144"/>
      <c r="DK17" s="145"/>
      <c r="DL17" s="144"/>
      <c r="DM17" s="141"/>
      <c r="DN17" s="141"/>
      <c r="DO17" s="144"/>
      <c r="DP17" s="145"/>
      <c r="DQ17" s="144"/>
      <c r="DR17" s="141"/>
      <c r="DS17" s="141"/>
      <c r="DT17" s="144"/>
      <c r="DU17" s="145"/>
      <c r="DV17" s="144"/>
      <c r="DW17" s="141"/>
      <c r="DX17" s="141"/>
      <c r="DY17" s="144"/>
      <c r="DZ17" s="145"/>
      <c r="EA17" s="144"/>
      <c r="EB17" s="141"/>
      <c r="EC17" s="141"/>
      <c r="ED17" s="144"/>
      <c r="EE17" s="145"/>
      <c r="EF17" s="144"/>
      <c r="EG17" s="141"/>
      <c r="EH17" s="141"/>
      <c r="EI17" s="144"/>
      <c r="EJ17" s="145"/>
      <c r="EK17" s="144"/>
      <c r="EL17" s="141"/>
      <c r="EM17" s="141"/>
      <c r="EN17" s="144"/>
      <c r="EO17" s="145"/>
      <c r="EP17" s="144"/>
      <c r="EQ17" s="141"/>
      <c r="ER17" s="141"/>
      <c r="ES17" s="144"/>
      <c r="ET17" s="145"/>
      <c r="EU17" s="144"/>
      <c r="EV17" s="141"/>
      <c r="EW17" s="141"/>
      <c r="EX17" s="144"/>
      <c r="EY17" s="145"/>
      <c r="EZ17" s="144"/>
      <c r="FA17" s="141"/>
      <c r="FB17" s="141"/>
      <c r="FC17" s="144"/>
      <c r="FD17" s="145"/>
      <c r="FE17" s="144"/>
      <c r="FF17" s="141"/>
      <c r="FG17" s="141"/>
      <c r="FH17" s="144"/>
      <c r="FI17" s="145"/>
      <c r="FJ17" s="144"/>
      <c r="FK17" s="141"/>
      <c r="FL17" s="141"/>
      <c r="FM17" s="144"/>
      <c r="FN17" s="145"/>
      <c r="FO17" s="144"/>
      <c r="FP17" s="141"/>
      <c r="FQ17" s="141"/>
      <c r="FR17" s="144"/>
      <c r="FS17" s="145"/>
      <c r="FT17" s="144"/>
      <c r="FU17" s="141"/>
      <c r="FV17" s="141"/>
      <c r="FW17" s="144"/>
      <c r="FX17" s="145"/>
      <c r="FY17" s="144"/>
      <c r="FZ17" s="141"/>
      <c r="GA17" s="141"/>
      <c r="GB17" s="144"/>
      <c r="GC17" s="145"/>
      <c r="GD17" s="144"/>
      <c r="GE17" s="141"/>
      <c r="GF17" s="141"/>
      <c r="GG17" s="144"/>
      <c r="GH17" s="145"/>
      <c r="GI17" s="144"/>
      <c r="GJ17" s="141"/>
      <c r="GK17" s="141"/>
      <c r="GL17" s="144"/>
      <c r="GM17" s="145"/>
      <c r="GN17" s="144"/>
      <c r="GO17" s="141"/>
      <c r="GP17" s="141"/>
      <c r="GQ17" s="144"/>
      <c r="GR17" s="145"/>
      <c r="GS17" s="144"/>
      <c r="GT17" s="141"/>
      <c r="GU17" s="141"/>
      <c r="GV17" s="144"/>
      <c r="GW17" s="145"/>
      <c r="GX17" s="144"/>
      <c r="GY17" s="141"/>
      <c r="GZ17" s="141"/>
      <c r="HA17" s="144"/>
      <c r="HB17" s="145"/>
      <c r="HC17" s="144"/>
      <c r="HD17" s="141"/>
      <c r="HE17" s="141"/>
      <c r="HF17" s="144"/>
      <c r="HG17" s="145"/>
      <c r="HH17" s="144"/>
      <c r="HI17" s="141"/>
      <c r="HJ17" s="141"/>
      <c r="HK17" s="144"/>
      <c r="HL17" s="145"/>
      <c r="HM17" s="144"/>
      <c r="HN17" s="141"/>
      <c r="HO17" s="141"/>
      <c r="HP17" s="144"/>
      <c r="HQ17" s="145"/>
      <c r="HR17" s="144"/>
      <c r="HS17" s="141"/>
      <c r="HT17" s="141"/>
      <c r="HU17" s="144"/>
      <c r="HV17" s="145"/>
      <c r="HW17" s="144"/>
      <c r="HX17" s="141"/>
      <c r="HY17" s="141"/>
      <c r="HZ17" s="144"/>
      <c r="IA17" s="145"/>
      <c r="IB17" s="144"/>
      <c r="IC17" s="141"/>
      <c r="ID17" s="141"/>
      <c r="IE17" s="144"/>
      <c r="IF17" s="145"/>
      <c r="IG17" s="144"/>
      <c r="IH17" s="141"/>
      <c r="II17" s="141"/>
      <c r="IJ17" s="144"/>
      <c r="IK17" s="145"/>
      <c r="IL17" s="144"/>
      <c r="IM17" s="141"/>
      <c r="IN17" s="141"/>
      <c r="IO17" s="144"/>
      <c r="IP17" s="145"/>
      <c r="IQ17" s="144"/>
      <c r="IR17" s="141"/>
      <c r="IS17" s="141"/>
      <c r="IT17" s="144"/>
      <c r="IU17" s="145"/>
      <c r="IV17" s="144"/>
    </row>
    <row r="18" spans="1:10" ht="27.75" customHeight="1" thickBot="1">
      <c r="A18" s="102" t="s">
        <v>88</v>
      </c>
      <c r="B18" s="200"/>
      <c r="C18" s="204">
        <f>Formeln!B12*(C9-C8)*(C13*0.9)</f>
        <v>4217.717945954351</v>
      </c>
      <c r="D18" s="205" t="s">
        <v>58</v>
      </c>
      <c r="E18" s="172"/>
      <c r="F18" s="138"/>
      <c r="G18" s="153"/>
      <c r="H18" s="147"/>
      <c r="I18" s="153"/>
      <c r="J18" s="140"/>
    </row>
    <row r="19" spans="1:10" ht="27.75" customHeight="1" thickBot="1">
      <c r="A19" s="104" t="s">
        <v>89</v>
      </c>
      <c r="B19" s="200"/>
      <c r="C19" s="204">
        <f>Formeln!B10*(C9-C8)*C13*1.6</f>
        <v>489.9109630885341</v>
      </c>
      <c r="D19" s="205" t="s">
        <v>58</v>
      </c>
      <c r="E19" s="172"/>
      <c r="F19" s="153"/>
      <c r="G19" s="141"/>
      <c r="H19" s="147"/>
      <c r="I19" s="153"/>
      <c r="J19" s="140"/>
    </row>
    <row r="20" spans="1:10" ht="27.75" customHeight="1" thickBot="1">
      <c r="A20" s="106" t="s">
        <v>90</v>
      </c>
      <c r="B20" s="200"/>
      <c r="C20" s="204">
        <f>C18-C19</f>
        <v>3727.806982865817</v>
      </c>
      <c r="D20" s="205" t="s">
        <v>58</v>
      </c>
      <c r="E20" s="172"/>
      <c r="F20" s="148"/>
      <c r="G20" s="153"/>
      <c r="H20" s="149"/>
      <c r="I20" s="150"/>
      <c r="J20" s="140"/>
    </row>
    <row r="21" spans="1:10" ht="27.75" customHeight="1" thickBot="1">
      <c r="A21" s="78"/>
      <c r="B21" s="150"/>
      <c r="C21" s="198"/>
      <c r="D21" s="150"/>
      <c r="E21" s="143"/>
      <c r="F21" s="148"/>
      <c r="G21" s="153"/>
      <c r="H21" s="149"/>
      <c r="I21" s="150"/>
      <c r="J21" s="140"/>
    </row>
    <row r="22" spans="1:10" ht="27.75" customHeight="1" thickBot="1">
      <c r="A22" s="102" t="s">
        <v>91</v>
      </c>
      <c r="B22" s="200"/>
      <c r="C22" s="204">
        <f>(C20*(C14*18))/1000</f>
        <v>12413.597252943171</v>
      </c>
      <c r="D22" s="205" t="s">
        <v>64</v>
      </c>
      <c r="E22" s="172"/>
      <c r="F22" s="138"/>
      <c r="G22" s="153"/>
      <c r="H22" s="147"/>
      <c r="I22" s="153"/>
      <c r="J22" s="140"/>
    </row>
    <row r="23" spans="1:10" ht="27.75" customHeight="1" thickBot="1">
      <c r="A23" s="102" t="s">
        <v>91</v>
      </c>
      <c r="B23" s="201"/>
      <c r="C23" s="204">
        <f>C22*Hilfstool!B39</f>
        <v>1117.2237527648854</v>
      </c>
      <c r="D23" s="205" t="s">
        <v>59</v>
      </c>
      <c r="E23" s="172" t="s">
        <v>93</v>
      </c>
      <c r="F23" s="153"/>
      <c r="G23" s="141"/>
      <c r="H23" s="147"/>
      <c r="I23" s="153"/>
      <c r="J23" s="140"/>
    </row>
    <row r="24" spans="1:10" ht="27.75" customHeight="1">
      <c r="A24" s="150"/>
      <c r="B24" s="150"/>
      <c r="C24" s="198"/>
      <c r="D24" s="150"/>
      <c r="E24" s="143"/>
      <c r="F24" s="153"/>
      <c r="G24" s="153"/>
      <c r="H24" s="152"/>
      <c r="I24" s="153"/>
      <c r="J24" s="151"/>
    </row>
    <row r="25" spans="1:10" ht="27.75" customHeight="1">
      <c r="A25" s="150"/>
      <c r="B25" s="213" t="s">
        <v>100</v>
      </c>
      <c r="C25" s="217"/>
      <c r="D25" s="218"/>
      <c r="E25" s="202"/>
      <c r="F25" s="153"/>
      <c r="G25" s="154"/>
      <c r="H25" s="152"/>
      <c r="I25" s="153"/>
      <c r="J25" s="151"/>
    </row>
    <row r="26" spans="1:10" ht="14.25" customHeight="1" thickBot="1">
      <c r="A26" s="150"/>
      <c r="B26" s="150"/>
      <c r="C26" s="198"/>
      <c r="D26" s="150"/>
      <c r="E26" s="143"/>
      <c r="F26" s="153"/>
      <c r="G26" s="153"/>
      <c r="H26" s="141"/>
      <c r="I26" s="153"/>
      <c r="J26" s="140"/>
    </row>
    <row r="27" spans="1:10" ht="27.75" customHeight="1" thickBot="1">
      <c r="A27" s="108" t="s">
        <v>94</v>
      </c>
      <c r="B27" s="203"/>
      <c r="C27" s="155">
        <f>C13*Hilfstool!B40</f>
        <v>2183.9328</v>
      </c>
      <c r="D27" s="171" t="s">
        <v>66</v>
      </c>
      <c r="E27" s="107" t="s">
        <v>97</v>
      </c>
      <c r="F27" s="153"/>
      <c r="G27" s="153"/>
      <c r="H27" s="156"/>
      <c r="I27" s="153"/>
      <c r="J27" s="143"/>
    </row>
    <row r="28" spans="1:10" ht="27.75" customHeight="1" thickBot="1">
      <c r="A28" s="110" t="s">
        <v>95</v>
      </c>
      <c r="B28" s="203"/>
      <c r="C28" s="157">
        <f>IF(C27="","",C27/C$23)</f>
        <v>1.9547855070170521</v>
      </c>
      <c r="D28" s="171" t="s">
        <v>96</v>
      </c>
      <c r="E28" s="107" t="s">
        <v>98</v>
      </c>
      <c r="F28" s="148"/>
      <c r="G28" s="153"/>
      <c r="H28" s="158"/>
      <c r="I28" s="153"/>
      <c r="J28" s="143"/>
    </row>
    <row r="29" spans="1:10" ht="27.75" customHeight="1" hidden="1">
      <c r="A29" s="179"/>
      <c r="E29" s="143"/>
      <c r="F29" s="159"/>
      <c r="G29" s="159"/>
      <c r="H29" s="159"/>
      <c r="I29" s="159"/>
      <c r="J29" s="159"/>
    </row>
    <row r="30" spans="1:10" ht="27.75" customHeight="1" hidden="1">
      <c r="A30" s="179"/>
      <c r="E30" s="143"/>
      <c r="F30" s="160"/>
      <c r="G30" s="160"/>
      <c r="H30" s="160"/>
      <c r="I30" s="160"/>
      <c r="J30" s="160"/>
    </row>
    <row r="31" spans="1:5" ht="27.75" customHeight="1" hidden="1">
      <c r="A31" s="179"/>
      <c r="E31" s="143"/>
    </row>
    <row r="32" spans="1:5" ht="27.75" customHeight="1" hidden="1">
      <c r="A32" s="179"/>
      <c r="E32" s="143"/>
    </row>
    <row r="33" spans="1:5" ht="27.75" customHeight="1" hidden="1">
      <c r="A33" s="179"/>
      <c r="E33" s="143"/>
    </row>
    <row r="34" spans="1:8" ht="27.75" customHeight="1" hidden="1">
      <c r="A34" s="179"/>
      <c r="E34" s="143"/>
      <c r="G34" s="126"/>
      <c r="H34" s="132"/>
    </row>
    <row r="35" spans="1:5" ht="27.75" customHeight="1" hidden="1">
      <c r="A35" s="179"/>
      <c r="E35" s="143"/>
    </row>
    <row r="36" spans="1:7" ht="27.75" customHeight="1" hidden="1">
      <c r="A36" s="179"/>
      <c r="E36" s="143"/>
      <c r="G36" s="162"/>
    </row>
    <row r="37" spans="1:5" ht="27.75" customHeight="1" hidden="1">
      <c r="A37" s="179"/>
      <c r="E37" s="143"/>
    </row>
    <row r="38" spans="1:7" ht="27.75" customHeight="1" hidden="1">
      <c r="A38" s="179"/>
      <c r="B38" s="163"/>
      <c r="E38" s="143"/>
      <c r="G38" s="162"/>
    </row>
    <row r="39" spans="1:5" ht="27.75" customHeight="1" hidden="1">
      <c r="A39" s="179"/>
      <c r="E39" s="143"/>
    </row>
    <row r="40" spans="1:9" ht="27.75" customHeight="1" hidden="1">
      <c r="A40" s="179"/>
      <c r="E40" s="143"/>
      <c r="G40" s="164"/>
      <c r="H40" s="164"/>
      <c r="I40" s="164"/>
    </row>
    <row r="41" spans="1:8" ht="27.75" customHeight="1" hidden="1">
      <c r="A41" s="179"/>
      <c r="E41" s="143"/>
      <c r="H41" s="132"/>
    </row>
    <row r="42" spans="1:8" ht="27.75" customHeight="1" hidden="1">
      <c r="A42" s="179"/>
      <c r="E42" s="143"/>
      <c r="H42" s="165"/>
    </row>
    <row r="43" spans="1:5" ht="27.75" customHeight="1" hidden="1">
      <c r="A43" s="179"/>
      <c r="E43" s="143"/>
    </row>
    <row r="44" spans="1:5" ht="27.75" customHeight="1" hidden="1">
      <c r="A44" s="179"/>
      <c r="E44" s="143"/>
    </row>
    <row r="45" spans="1:8" ht="27.75" customHeight="1" hidden="1">
      <c r="A45" s="179"/>
      <c r="E45" s="143"/>
      <c r="G45" s="166"/>
      <c r="H45" s="132"/>
    </row>
    <row r="46" spans="1:10" ht="27.75" customHeight="1" hidden="1">
      <c r="A46" s="179"/>
      <c r="E46" s="143"/>
      <c r="F46" s="167"/>
      <c r="G46" s="168"/>
      <c r="H46" s="168"/>
      <c r="I46" s="169"/>
      <c r="J46" s="168"/>
    </row>
    <row r="47" spans="1:10" ht="27.75" customHeight="1" hidden="1">
      <c r="A47" s="179"/>
      <c r="E47" s="143"/>
      <c r="F47" s="167"/>
      <c r="G47" s="168"/>
      <c r="H47" s="168"/>
      <c r="I47" s="169"/>
      <c r="J47" s="168"/>
    </row>
    <row r="48" spans="1:10" ht="27.75" customHeight="1" hidden="1">
      <c r="A48" s="179"/>
      <c r="E48" s="143"/>
      <c r="F48" s="167"/>
      <c r="G48" s="168"/>
      <c r="H48" s="168"/>
      <c r="I48" s="169"/>
      <c r="J48" s="168"/>
    </row>
    <row r="49" spans="1:5" ht="27.75" customHeight="1" hidden="1">
      <c r="A49" s="179"/>
      <c r="E49" s="143"/>
    </row>
    <row r="50" ht="27.75" customHeight="1" hidden="1">
      <c r="A50" s="179"/>
    </row>
    <row r="51" ht="27.75" customHeight="1" hidden="1"/>
    <row r="52" ht="27.75" customHeight="1" hidden="1"/>
    <row r="53" ht="27.75" customHeight="1" hidden="1"/>
    <row r="54" ht="27.75" customHeight="1" hidden="1"/>
    <row r="55" ht="27.75" customHeight="1" hidden="1"/>
    <row r="56" ht="27.75" customHeight="1" hidden="1"/>
    <row r="57" ht="27.75" customHeight="1" hidden="1"/>
    <row r="58" ht="27.75" customHeight="1" hidden="1"/>
    <row r="59" ht="27.75" customHeight="1" hidden="1"/>
    <row r="60" ht="27.75" customHeight="1" hidden="1"/>
    <row r="61" ht="27.75" customHeight="1" hidden="1">
      <c r="H61" s="132"/>
    </row>
    <row r="62" ht="27.75" customHeight="1" hidden="1">
      <c r="H62" s="132"/>
    </row>
    <row r="63" ht="27.75" customHeight="1" hidden="1">
      <c r="H63" s="132"/>
    </row>
    <row r="64" ht="27.75" customHeight="1" hidden="1">
      <c r="H64" s="132"/>
    </row>
    <row r="65" ht="27.75" customHeight="1" hidden="1">
      <c r="H65" s="132"/>
    </row>
    <row r="66" ht="27.75" customHeight="1" hidden="1">
      <c r="H66" s="132"/>
    </row>
    <row r="67" ht="27.75" customHeight="1" hidden="1">
      <c r="H67" s="132"/>
    </row>
    <row r="68" ht="27.75" customHeight="1" hidden="1">
      <c r="H68" s="132"/>
    </row>
    <row r="69" ht="27.75" customHeight="1" hidden="1">
      <c r="H69" s="132"/>
    </row>
    <row r="70" ht="27.75" customHeight="1" hidden="1">
      <c r="H70" s="132"/>
    </row>
    <row r="71" ht="27.75" customHeight="1" hidden="1">
      <c r="H71" s="132"/>
    </row>
    <row r="72" ht="27.75" customHeight="1" hidden="1">
      <c r="H72" s="132"/>
    </row>
    <row r="73" ht="27.75" customHeight="1" hidden="1">
      <c r="H73" s="132"/>
    </row>
    <row r="74" ht="27.75" customHeight="1" hidden="1">
      <c r="H74" s="132"/>
    </row>
    <row r="75" ht="27.75" customHeight="1" hidden="1">
      <c r="H75" s="132"/>
    </row>
    <row r="76" ht="0" customHeight="1" hidden="1"/>
    <row r="77" ht="0" customHeight="1" hidden="1"/>
    <row r="78" ht="0" customHeight="1" hidden="1"/>
    <row r="79" ht="0" customHeight="1" hidden="1"/>
  </sheetData>
  <sheetProtection password="CE93" sheet="1" selectLockedCells="1"/>
  <protectedRanges>
    <protectedRange sqref="C8:C12 C14" name="Bereich1"/>
  </protectedRanges>
  <mergeCells count="1">
    <mergeCell ref="C25:D25"/>
  </mergeCells>
  <printOptions/>
  <pageMargins left="0.0484375" right="0.25" top="0.75" bottom="0.75" header="0.3" footer="0.3"/>
  <pageSetup horizontalDpi="600" verticalDpi="600" orientation="portrait" paperSize="9" r:id="rId2"/>
  <headerFooter>
    <oddHeader>&amp;L&amp;"-,Fett"&amp;14Calculation des déperditions thermiques pour réservoir de Chauffage et d'eau chaud</oddHeader>
    <oddFooter>&amp;C&amp;"-,Fett"&amp;20ISOLSUISSE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35.8515625" style="0" customWidth="1"/>
    <col min="2" max="2" width="12.57421875" style="0" bestFit="1" customWidth="1"/>
    <col min="3" max="3" width="13.57421875" style="0" customWidth="1"/>
    <col min="4" max="4" width="23.7109375" style="0" customWidth="1"/>
    <col min="5" max="5" width="30.00390625" style="0" bestFit="1" customWidth="1"/>
    <col min="6" max="6" width="14.57421875" style="0" customWidth="1"/>
  </cols>
  <sheetData>
    <row r="1" spans="1:3" ht="15">
      <c r="A1" s="19" t="s">
        <v>0</v>
      </c>
      <c r="B1" s="20"/>
      <c r="C1" s="21"/>
    </row>
    <row r="2" spans="1:3" ht="15">
      <c r="A2" s="33"/>
      <c r="B2" s="2"/>
      <c r="C2" s="23"/>
    </row>
    <row r="3" spans="1:4" s="6" customFormat="1" ht="15.75" thickBot="1">
      <c r="A3" s="34" t="s">
        <v>7</v>
      </c>
      <c r="B3" s="1" t="s">
        <v>1</v>
      </c>
      <c r="C3" s="35" t="s">
        <v>8</v>
      </c>
      <c r="D3" s="37" t="s">
        <v>26</v>
      </c>
    </row>
    <row r="4" spans="1:3" ht="15.75" thickBot="1">
      <c r="A4" s="30" t="s">
        <v>4</v>
      </c>
      <c r="B4" s="15">
        <v>0.045</v>
      </c>
      <c r="C4" s="11">
        <f>Appareils!C12/1000</f>
        <v>0.12</v>
      </c>
    </row>
    <row r="5" spans="1:6" ht="15.75" thickBot="1">
      <c r="A5" s="30" t="s">
        <v>5</v>
      </c>
      <c r="B5" s="15">
        <v>0.04</v>
      </c>
      <c r="C5" s="11">
        <v>0</v>
      </c>
      <c r="D5" t="s">
        <v>28</v>
      </c>
      <c r="E5" s="38">
        <v>0.032</v>
      </c>
      <c r="F5" t="s">
        <v>29</v>
      </c>
    </row>
    <row r="6" spans="1:6" ht="15.75" thickBot="1">
      <c r="A6" s="30" t="s">
        <v>6</v>
      </c>
      <c r="B6" s="15">
        <v>0.04</v>
      </c>
      <c r="C6" s="11">
        <v>0</v>
      </c>
      <c r="D6" t="s">
        <v>30</v>
      </c>
      <c r="E6">
        <v>0.0033</v>
      </c>
      <c r="F6" t="s">
        <v>31</v>
      </c>
    </row>
    <row r="7" spans="1:5" ht="15">
      <c r="A7" s="29" t="s">
        <v>25</v>
      </c>
      <c r="B7" s="4">
        <v>0.043478260869565216</v>
      </c>
      <c r="C7" s="36">
        <v>0.043478260869565216</v>
      </c>
      <c r="D7" t="s">
        <v>27</v>
      </c>
      <c r="E7">
        <f>1000*E5+100*E6</f>
        <v>32.33</v>
      </c>
    </row>
    <row r="8" spans="1:5" ht="15.75" thickBot="1">
      <c r="A8" s="29" t="s">
        <v>3</v>
      </c>
      <c r="B8" s="5">
        <v>0.14285714285714285</v>
      </c>
      <c r="C8" s="36">
        <v>0.14285714285714285</v>
      </c>
      <c r="D8" t="s">
        <v>32</v>
      </c>
      <c r="E8" s="40">
        <v>650</v>
      </c>
    </row>
    <row r="9" spans="1:6" ht="15.75" thickBot="1">
      <c r="A9" s="33"/>
      <c r="B9" s="2"/>
      <c r="C9" s="23"/>
      <c r="D9" t="s">
        <v>33</v>
      </c>
      <c r="E9" s="43">
        <f>B45</f>
        <v>34.43438914027149</v>
      </c>
      <c r="F9" s="2"/>
    </row>
    <row r="10" spans="1:5" ht="15.75" thickBot="1">
      <c r="A10" s="25" t="s">
        <v>14</v>
      </c>
      <c r="B10" s="12">
        <f>1/(B8+B7+(C4/B4)+(C5/B5)+(C6/B6))</f>
        <v>0.3505079825834543</v>
      </c>
      <c r="C10" s="23"/>
      <c r="D10" t="s">
        <v>34</v>
      </c>
      <c r="E10">
        <f>E5*(((LN(E6*E8))-((LN(E6*E9))))/((E6*(E8-E9))))</f>
        <v>0.04628083159818782</v>
      </c>
    </row>
    <row r="11" spans="1:5" ht="15.75" thickBot="1">
      <c r="A11" s="24"/>
      <c r="B11" s="2">
        <v>69</v>
      </c>
      <c r="C11" s="23">
        <v>0.005</v>
      </c>
      <c r="D11" t="s">
        <v>35</v>
      </c>
      <c r="E11">
        <v>2.718282</v>
      </c>
    </row>
    <row r="12" spans="1:5" ht="15.75" thickBot="1">
      <c r="A12" s="24"/>
      <c r="B12" s="12">
        <f>1/((B7+B8)+((C5/B5)+(C6/B6)+(C11/B11)))</f>
        <v>5.364580440939634</v>
      </c>
      <c r="C12" s="23"/>
      <c r="E12" s="39">
        <f>E5*(E11*(E6*350))</f>
        <v>0.10046770272</v>
      </c>
    </row>
    <row r="13" spans="1:3" ht="15.75" thickBot="1">
      <c r="A13" s="25" t="s">
        <v>9</v>
      </c>
      <c r="B13" s="2"/>
      <c r="C13" s="23"/>
    </row>
    <row r="14" spans="1:8" ht="15.75" thickBot="1">
      <c r="A14" s="30" t="s">
        <v>4</v>
      </c>
      <c r="B14" s="14">
        <v>0.04</v>
      </c>
      <c r="C14" s="23"/>
      <c r="E14">
        <f>0.32*(LN(0.0033*350))</f>
        <v>0.0461121100716022</v>
      </c>
      <c r="H14" s="39"/>
    </row>
    <row r="15" spans="1:3" ht="15.75" thickBot="1">
      <c r="A15" s="24" t="s">
        <v>10</v>
      </c>
      <c r="B15" s="13">
        <v>48</v>
      </c>
      <c r="C15" s="23"/>
    </row>
    <row r="16" spans="1:3" ht="15.75" thickBot="1">
      <c r="A16" s="24" t="s">
        <v>11</v>
      </c>
      <c r="B16" s="13">
        <v>108</v>
      </c>
      <c r="C16" s="23"/>
    </row>
    <row r="17" spans="1:3" ht="15">
      <c r="A17" s="29" t="s">
        <v>2</v>
      </c>
      <c r="B17" s="4">
        <v>0.14285714285714285</v>
      </c>
      <c r="C17" s="23"/>
    </row>
    <row r="18" spans="1:3" ht="15">
      <c r="A18" s="29" t="s">
        <v>3</v>
      </c>
      <c r="B18" s="5">
        <v>0.043478260869565216</v>
      </c>
      <c r="C18" s="23"/>
    </row>
    <row r="19" spans="1:3" ht="15">
      <c r="A19" s="24" t="s">
        <v>12</v>
      </c>
      <c r="B19" s="2">
        <f>LN(B16/B15)</f>
        <v>0.8109302162163288</v>
      </c>
      <c r="C19" s="23"/>
    </row>
    <row r="20" spans="1:3" ht="15.75" thickBot="1">
      <c r="A20" s="24"/>
      <c r="B20" s="2"/>
      <c r="C20" s="23"/>
    </row>
    <row r="21" spans="1:4" ht="15.75" thickBot="1">
      <c r="A21" s="25" t="s">
        <v>13</v>
      </c>
      <c r="B21" s="16">
        <f>3.14156/((1/(7*B15))+(1/(2*B14))+B19+(1/(23*B16)))</f>
        <v>0.23595366488551953</v>
      </c>
      <c r="C21" s="23"/>
      <c r="D21">
        <f>B21*20</f>
        <v>4.71907329771039</v>
      </c>
    </row>
    <row r="22" spans="1:3" ht="15.75" thickBot="1">
      <c r="A22" s="26"/>
      <c r="B22" s="27"/>
      <c r="C22" s="28"/>
    </row>
    <row r="23" ht="15.75" thickBot="1"/>
    <row r="24" spans="1:6" ht="15">
      <c r="A24" s="19" t="s">
        <v>15</v>
      </c>
      <c r="B24" s="20"/>
      <c r="C24" s="21"/>
      <c r="D24" s="19" t="s">
        <v>36</v>
      </c>
      <c r="E24" s="20"/>
      <c r="F24" s="21"/>
    </row>
    <row r="25" spans="1:6" ht="15">
      <c r="A25" s="22" t="s">
        <v>16</v>
      </c>
      <c r="B25" s="2">
        <v>20</v>
      </c>
      <c r="C25" s="23" t="s">
        <v>18</v>
      </c>
      <c r="D25" s="24" t="s">
        <v>37</v>
      </c>
      <c r="E25" s="2">
        <v>22</v>
      </c>
      <c r="F25" s="23" t="s">
        <v>42</v>
      </c>
    </row>
    <row r="26" spans="1:6" ht="15">
      <c r="A26" s="22" t="s">
        <v>17</v>
      </c>
      <c r="B26" s="2">
        <v>18.5</v>
      </c>
      <c r="C26" s="23" t="s">
        <v>18</v>
      </c>
      <c r="D26" s="24" t="s">
        <v>38</v>
      </c>
      <c r="E26" s="2">
        <v>40</v>
      </c>
      <c r="F26" s="23" t="s">
        <v>18</v>
      </c>
    </row>
    <row r="27" spans="1:6" ht="15">
      <c r="A27" s="22" t="s">
        <v>19</v>
      </c>
      <c r="B27" s="2">
        <f>B10</f>
        <v>0.3505079825834543</v>
      </c>
      <c r="C27" s="23"/>
      <c r="D27" s="24" t="s">
        <v>39</v>
      </c>
      <c r="E27" s="2">
        <v>15</v>
      </c>
      <c r="F27" s="23" t="s">
        <v>18</v>
      </c>
    </row>
    <row r="28" spans="1:6" ht="15.75" thickBot="1">
      <c r="A28" s="24"/>
      <c r="B28" s="2"/>
      <c r="C28" s="23"/>
      <c r="D28" s="24" t="s">
        <v>40</v>
      </c>
      <c r="E28" s="2">
        <f>E25*3.14/1000</f>
        <v>0.06908</v>
      </c>
      <c r="F28" s="23" t="s">
        <v>41</v>
      </c>
    </row>
    <row r="29" spans="1:6" ht="15.75" thickBot="1">
      <c r="A29" s="25" t="s">
        <v>20</v>
      </c>
      <c r="B29" s="8">
        <f>(B25-B26)*B27</f>
        <v>0.5257619738751814</v>
      </c>
      <c r="C29" s="23"/>
      <c r="D29" s="24" t="s">
        <v>36</v>
      </c>
      <c r="E29" s="44">
        <f>(E26-E27)*B10*E28</f>
        <v>0.6053272859216257</v>
      </c>
      <c r="F29" s="23" t="s">
        <v>44</v>
      </c>
    </row>
    <row r="30" spans="1:6" ht="15.75" thickBot="1">
      <c r="A30" s="25" t="s">
        <v>21</v>
      </c>
      <c r="B30" s="8">
        <f>(B25-B26)*B21</f>
        <v>0.3539304973282793</v>
      </c>
      <c r="C30" s="23"/>
      <c r="D30" s="24" t="s">
        <v>36</v>
      </c>
      <c r="E30" s="44">
        <f>(E26-E27)*E28*B21</f>
        <v>0.40749197925729225</v>
      </c>
      <c r="F30" s="23" t="s">
        <v>44</v>
      </c>
    </row>
    <row r="31" spans="1:6" ht="15.75" thickBot="1">
      <c r="A31" s="26"/>
      <c r="B31" s="27"/>
      <c r="C31" s="28"/>
      <c r="D31" s="26" t="s">
        <v>43</v>
      </c>
      <c r="E31" s="45">
        <f>E29-E30</f>
        <v>0.1978353066643334</v>
      </c>
      <c r="F31" s="28" t="s">
        <v>45</v>
      </c>
    </row>
    <row r="32" ht="15.75" thickBot="1"/>
    <row r="33" spans="1:4" ht="15">
      <c r="A33" s="19" t="s">
        <v>22</v>
      </c>
      <c r="B33" s="20"/>
      <c r="C33" s="21"/>
      <c r="D33" t="s">
        <v>61</v>
      </c>
    </row>
    <row r="34" spans="1:3" ht="15">
      <c r="A34" s="29" t="s">
        <v>25</v>
      </c>
      <c r="B34" s="17">
        <v>0.043478260869565216</v>
      </c>
      <c r="C34" s="23"/>
    </row>
    <row r="35" spans="1:3" ht="15.75" thickBot="1">
      <c r="A35" s="29" t="s">
        <v>3</v>
      </c>
      <c r="B35" s="18">
        <v>0.14285714285714285</v>
      </c>
      <c r="C35" s="23"/>
    </row>
    <row r="36" spans="1:3" ht="15.75" thickBot="1">
      <c r="A36" s="30" t="s">
        <v>4</v>
      </c>
      <c r="B36" s="3">
        <v>0.04</v>
      </c>
      <c r="C36" s="7">
        <v>0.02</v>
      </c>
    </row>
    <row r="37" spans="1:3" ht="15">
      <c r="A37" s="22" t="s">
        <v>16</v>
      </c>
      <c r="B37" s="31">
        <v>100</v>
      </c>
      <c r="C37" s="23" t="s">
        <v>18</v>
      </c>
    </row>
    <row r="38" spans="1:3" ht="15">
      <c r="A38" s="22" t="s">
        <v>17</v>
      </c>
      <c r="B38" s="31">
        <v>30</v>
      </c>
      <c r="C38" s="23" t="s">
        <v>18</v>
      </c>
    </row>
    <row r="39" spans="1:3" ht="15.75" thickBot="1">
      <c r="A39" s="24" t="s">
        <v>9</v>
      </c>
      <c r="B39" s="2"/>
      <c r="C39" s="23"/>
    </row>
    <row r="40" spans="1:3" ht="15.75" thickBot="1">
      <c r="A40" s="30" t="s">
        <v>4</v>
      </c>
      <c r="B40" s="9">
        <v>0.07</v>
      </c>
      <c r="C40" s="23"/>
    </row>
    <row r="41" spans="1:3" ht="15.75" thickBot="1">
      <c r="A41" s="24" t="s">
        <v>10</v>
      </c>
      <c r="B41" s="10">
        <v>0.114</v>
      </c>
      <c r="C41" s="23"/>
    </row>
    <row r="42" spans="1:3" ht="15.75" thickBot="1">
      <c r="A42" s="24" t="s">
        <v>11</v>
      </c>
      <c r="B42" s="10">
        <v>0.154</v>
      </c>
      <c r="C42" s="23"/>
    </row>
    <row r="43" spans="1:3" ht="15">
      <c r="A43" s="29" t="s">
        <v>25</v>
      </c>
      <c r="B43" s="4">
        <v>0.043478260869565216</v>
      </c>
      <c r="C43" s="23"/>
    </row>
    <row r="44" spans="1:3" ht="15.75" thickBot="1">
      <c r="A44" s="24" t="s">
        <v>12</v>
      </c>
      <c r="B44" s="32">
        <f>LN(B42/B41)</f>
        <v>0.3007541540191337</v>
      </c>
      <c r="C44" s="23"/>
    </row>
    <row r="45" spans="1:3" ht="15.75" thickBot="1">
      <c r="A45" s="25" t="s">
        <v>24</v>
      </c>
      <c r="B45" s="41">
        <f>B34/(B34+(C36/B36)+B35)*(B37-B38)+B38</f>
        <v>34.43438914027149</v>
      </c>
      <c r="C45" s="42" t="s">
        <v>18</v>
      </c>
    </row>
    <row r="46" spans="1:3" ht="15.75" thickBot="1">
      <c r="A46" s="25" t="s">
        <v>23</v>
      </c>
      <c r="B46" s="41">
        <f>((1/(23*B42))/((1/(7*B41))+(1/(2*B40))+B44+(1/(23*B42))))*(B37-B38)+B38</f>
        <v>32.20099016414645</v>
      </c>
      <c r="C46" s="42" t="s">
        <v>18</v>
      </c>
    </row>
    <row r="47" spans="1:3" ht="15.75" thickBot="1">
      <c r="A47" s="26"/>
      <c r="B47" s="27"/>
      <c r="C47" s="28"/>
    </row>
  </sheetData>
  <sheetProtection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4">
      <selection activeCell="F3" sqref="F3"/>
    </sheetView>
  </sheetViews>
  <sheetFormatPr defaultColWidth="11.421875" defaultRowHeight="15"/>
  <cols>
    <col min="1" max="1" width="52.57421875" style="0" bestFit="1" customWidth="1"/>
    <col min="2" max="2" width="12.57421875" style="0" customWidth="1"/>
    <col min="3" max="3" width="17.421875" style="0" bestFit="1" customWidth="1"/>
    <col min="4" max="4" width="14.00390625" style="0" bestFit="1" customWidth="1"/>
    <col min="9" max="9" width="22.8515625" style="0" bestFit="1" customWidth="1"/>
    <col min="10" max="10" width="13.57421875" style="0" bestFit="1" customWidth="1"/>
  </cols>
  <sheetData>
    <row r="1" spans="1:9" ht="15">
      <c r="A1" s="51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.75" thickBot="1">
      <c r="A2" s="50"/>
      <c r="B2" s="32"/>
      <c r="C2" s="32"/>
      <c r="E2" s="32"/>
      <c r="F2" s="32"/>
      <c r="G2" s="32"/>
      <c r="H2" s="32"/>
      <c r="I2" s="32"/>
    </row>
    <row r="3" spans="1:9" ht="15">
      <c r="A3" s="66" t="s">
        <v>52</v>
      </c>
      <c r="B3" s="20"/>
      <c r="C3" s="67"/>
      <c r="D3" s="71" t="s">
        <v>48</v>
      </c>
      <c r="E3" s="32"/>
      <c r="F3" s="32"/>
      <c r="G3" s="32"/>
      <c r="H3" s="32"/>
      <c r="I3" s="32"/>
    </row>
    <row r="4" spans="1:9" ht="15">
      <c r="A4" s="48" t="s">
        <v>47</v>
      </c>
      <c r="B4" s="61">
        <v>42</v>
      </c>
      <c r="C4" s="59" t="s">
        <v>1</v>
      </c>
      <c r="D4" s="68">
        <f>1/(23*B20)</f>
        <v>0.7246376811594204</v>
      </c>
      <c r="E4" s="32"/>
      <c r="F4" s="32"/>
      <c r="G4" s="32"/>
      <c r="H4" s="32"/>
      <c r="I4" s="32"/>
    </row>
    <row r="5" spans="1:9" ht="15">
      <c r="A5" s="48"/>
      <c r="B5" s="53"/>
      <c r="C5" s="32"/>
      <c r="D5" s="68">
        <f>(1/(B4))+LN(B22/B20)</f>
        <v>0.07259968797895586</v>
      </c>
      <c r="E5" s="32"/>
      <c r="F5" s="32"/>
      <c r="G5" s="32"/>
      <c r="H5" s="32"/>
      <c r="I5" s="32"/>
    </row>
    <row r="6" spans="1:9" ht="15">
      <c r="A6" s="48"/>
      <c r="B6" s="53"/>
      <c r="C6" s="32"/>
      <c r="D6" s="68">
        <f>1/(8*B22)</f>
        <v>1.9841269841269842</v>
      </c>
      <c r="E6" s="32"/>
      <c r="F6" s="32"/>
      <c r="G6" s="32"/>
      <c r="H6" s="32"/>
      <c r="I6" s="32"/>
    </row>
    <row r="7" spans="1:9" ht="15.75" thickBot="1">
      <c r="A7" s="72"/>
      <c r="B7" s="74"/>
      <c r="C7" s="75"/>
      <c r="D7" s="73">
        <f>D4+D5+D6</f>
        <v>2.7813643532653605</v>
      </c>
      <c r="E7" s="32"/>
      <c r="F7" s="32"/>
      <c r="G7" s="32"/>
      <c r="H7" s="32"/>
      <c r="I7" s="32"/>
    </row>
    <row r="8" spans="2:9" ht="15.75" thickBot="1">
      <c r="B8" s="69" t="s">
        <v>51</v>
      </c>
      <c r="C8" s="70">
        <f>2*3.14/D7</f>
        <v>2.2578846933977537</v>
      </c>
      <c r="D8" s="70" t="s">
        <v>50</v>
      </c>
      <c r="E8" s="32"/>
      <c r="F8" s="32"/>
      <c r="G8" s="32"/>
      <c r="H8" s="32"/>
      <c r="I8" s="32"/>
    </row>
    <row r="9" spans="1:9" ht="15">
      <c r="A9" s="50"/>
      <c r="B9" s="32"/>
      <c r="C9" s="32"/>
      <c r="D9" s="51"/>
      <c r="E9" s="32"/>
      <c r="F9" s="32"/>
      <c r="G9" s="32"/>
      <c r="H9" s="32"/>
      <c r="I9" s="32"/>
    </row>
    <row r="10" spans="1:9" ht="15">
      <c r="A10" s="51"/>
      <c r="B10" s="32"/>
      <c r="C10" s="32"/>
      <c r="D10" s="51"/>
      <c r="E10" s="32"/>
      <c r="F10" s="32"/>
      <c r="G10" s="32"/>
      <c r="H10" s="32"/>
      <c r="I10" s="32"/>
    </row>
    <row r="11" spans="1:9" ht="15.75" thickBot="1">
      <c r="A11" s="32"/>
      <c r="B11" s="32"/>
      <c r="C11" s="32"/>
      <c r="D11" s="51"/>
      <c r="E11" s="32"/>
      <c r="F11" s="32"/>
      <c r="G11" s="32"/>
      <c r="H11" s="32"/>
      <c r="I11" s="32"/>
    </row>
    <row r="12" spans="1:9" ht="15">
      <c r="A12" s="62"/>
      <c r="B12" s="55"/>
      <c r="C12" s="55"/>
      <c r="D12" s="71" t="s">
        <v>48</v>
      </c>
      <c r="E12" s="32"/>
      <c r="F12" s="32"/>
      <c r="G12" s="32"/>
      <c r="H12" s="32"/>
      <c r="I12" s="32"/>
    </row>
    <row r="13" spans="1:9" ht="15">
      <c r="A13" s="58" t="s">
        <v>53</v>
      </c>
      <c r="B13" s="32"/>
      <c r="C13" s="32"/>
      <c r="D13" s="68">
        <f>1/(23*B20)</f>
        <v>0.7246376811594204</v>
      </c>
      <c r="E13" s="32"/>
      <c r="F13" s="32"/>
      <c r="G13" s="32"/>
      <c r="H13" s="32"/>
      <c r="I13" s="32"/>
    </row>
    <row r="14" spans="1:9" ht="15">
      <c r="A14" s="48" t="s">
        <v>49</v>
      </c>
      <c r="B14" s="61">
        <v>0.035</v>
      </c>
      <c r="C14" s="59" t="s">
        <v>1</v>
      </c>
      <c r="D14" s="68">
        <f>(1/(B4))+LN(B22/B20)</f>
        <v>0.07259968797895586</v>
      </c>
      <c r="E14" s="32"/>
      <c r="F14" s="60"/>
      <c r="G14" s="32"/>
      <c r="H14" s="32"/>
      <c r="I14" s="32"/>
    </row>
    <row r="15" spans="1:9" ht="15">
      <c r="A15" s="49"/>
      <c r="B15" s="32"/>
      <c r="C15" s="32"/>
      <c r="D15" s="68">
        <f>(1/(B14))*(LN(B21/B20))</f>
        <v>28.023692943192177</v>
      </c>
      <c r="E15" s="32"/>
      <c r="F15" s="32"/>
      <c r="G15" s="32"/>
      <c r="H15" s="32"/>
      <c r="I15" s="32"/>
    </row>
    <row r="16" spans="1:9" ht="15">
      <c r="A16" s="49"/>
      <c r="B16" s="32"/>
      <c r="C16" s="32"/>
      <c r="D16" s="68">
        <f>1/(8*B21)</f>
        <v>0.78125</v>
      </c>
      <c r="E16" s="32"/>
      <c r="F16" s="32"/>
      <c r="G16" s="32"/>
      <c r="H16" s="32"/>
      <c r="I16" s="32"/>
    </row>
    <row r="17" spans="1:9" ht="15.75" thickBot="1">
      <c r="A17" s="26"/>
      <c r="B17" s="27"/>
      <c r="C17" s="27"/>
      <c r="D17" s="73">
        <f>SUM(D13:D16)</f>
        <v>29.602180312330553</v>
      </c>
      <c r="E17" s="32"/>
      <c r="F17" s="32"/>
      <c r="G17" s="32"/>
      <c r="H17" s="32"/>
      <c r="I17" s="32"/>
    </row>
    <row r="18" spans="1:9" ht="15.75" thickBot="1">
      <c r="A18" s="54"/>
      <c r="B18" s="69" t="s">
        <v>51</v>
      </c>
      <c r="C18" s="70">
        <f>2*3.14/D17</f>
        <v>0.21214653561799016</v>
      </c>
      <c r="D18" s="73" t="s">
        <v>50</v>
      </c>
      <c r="E18" s="32"/>
      <c r="F18" s="32"/>
      <c r="G18" s="32"/>
      <c r="H18" s="32"/>
      <c r="I18" s="32"/>
    </row>
    <row r="19" spans="6:9" ht="15.75" thickBot="1">
      <c r="F19" s="32"/>
      <c r="G19" s="32"/>
      <c r="H19" s="32"/>
      <c r="I19" s="32"/>
    </row>
    <row r="20" spans="1:9" ht="15">
      <c r="A20" s="62" t="s">
        <v>37</v>
      </c>
      <c r="B20" s="55">
        <f>Conduits!C10/1000</f>
        <v>0.06</v>
      </c>
      <c r="C20" s="56" t="s">
        <v>54</v>
      </c>
      <c r="F20" s="32"/>
      <c r="G20" s="32"/>
      <c r="H20" s="32"/>
      <c r="I20" s="32"/>
    </row>
    <row r="21" spans="1:9" ht="15">
      <c r="A21" s="49" t="s">
        <v>56</v>
      </c>
      <c r="B21" s="32">
        <f>(Conduits!C10+Conduits!C11+Conduits!C11)/1000</f>
        <v>0.16</v>
      </c>
      <c r="C21" s="57" t="s">
        <v>55</v>
      </c>
      <c r="F21" s="32"/>
      <c r="G21" s="32"/>
      <c r="H21" s="32"/>
      <c r="I21" s="32"/>
    </row>
    <row r="22" spans="1:9" ht="15.75" thickBot="1">
      <c r="A22" s="63" t="s">
        <v>57</v>
      </c>
      <c r="B22" s="64">
        <f>B20+0.003</f>
        <v>0.063</v>
      </c>
      <c r="C22" s="65" t="s">
        <v>37</v>
      </c>
      <c r="D22" s="32"/>
      <c r="E22" s="32"/>
      <c r="F22" s="32"/>
      <c r="G22" s="32"/>
      <c r="H22" s="32"/>
      <c r="I22" s="32"/>
    </row>
    <row r="23" spans="1:9" ht="15">
      <c r="A23" s="51"/>
      <c r="B23" s="32"/>
      <c r="C23" s="32"/>
      <c r="D23" s="32"/>
      <c r="E23" s="32"/>
      <c r="F23" s="32"/>
      <c r="G23" s="32"/>
      <c r="H23" s="32"/>
      <c r="I23" s="32"/>
    </row>
    <row r="24" spans="1:9" ht="15">
      <c r="A24" s="52"/>
      <c r="B24" s="53"/>
      <c r="C24" s="32"/>
      <c r="D24" s="32"/>
      <c r="E24" s="32"/>
      <c r="F24" s="32"/>
      <c r="G24" s="32"/>
      <c r="H24" s="32"/>
      <c r="I24" s="32"/>
    </row>
    <row r="25" spans="1:9" ht="15">
      <c r="A25" s="53">
        <v>22</v>
      </c>
      <c r="B25" s="32">
        <v>29</v>
      </c>
      <c r="C25" s="32"/>
      <c r="D25" s="32"/>
      <c r="E25" s="32"/>
      <c r="F25" s="32"/>
      <c r="G25" s="32"/>
      <c r="H25" s="32"/>
      <c r="I25" s="32"/>
    </row>
    <row r="26" spans="1:9" ht="15">
      <c r="A26" s="53">
        <v>28</v>
      </c>
      <c r="B26" s="32">
        <v>30</v>
      </c>
      <c r="C26" s="32"/>
      <c r="D26" s="32"/>
      <c r="E26" s="32"/>
      <c r="F26" s="32"/>
      <c r="G26" s="32"/>
      <c r="H26" s="32"/>
      <c r="I26" s="32"/>
    </row>
    <row r="27" spans="1:7" ht="15">
      <c r="A27" s="76">
        <v>35</v>
      </c>
      <c r="B27" s="32">
        <v>32</v>
      </c>
      <c r="C27" s="32"/>
      <c r="D27" s="32"/>
      <c r="E27" s="32"/>
      <c r="F27" s="32"/>
      <c r="G27" s="32"/>
    </row>
    <row r="28" spans="1:7" ht="15">
      <c r="A28" s="76">
        <v>42</v>
      </c>
      <c r="B28" s="32">
        <v>39</v>
      </c>
      <c r="C28" s="32"/>
      <c r="D28" s="32"/>
      <c r="E28" s="32"/>
      <c r="F28" s="32"/>
      <c r="G28" s="32"/>
    </row>
    <row r="29" spans="1:7" ht="15">
      <c r="A29" s="53">
        <v>60</v>
      </c>
      <c r="B29" s="32">
        <v>45</v>
      </c>
      <c r="C29" s="32"/>
      <c r="D29" s="32"/>
      <c r="E29" s="32"/>
      <c r="F29" s="32"/>
      <c r="G29" s="32"/>
    </row>
    <row r="30" spans="1:7" ht="15">
      <c r="A30" s="53">
        <v>76</v>
      </c>
      <c r="B30" s="32">
        <v>57</v>
      </c>
      <c r="C30" s="32"/>
      <c r="D30" s="32"/>
      <c r="E30" s="32"/>
      <c r="F30" s="32"/>
      <c r="G30" s="32"/>
    </row>
    <row r="31" spans="1:7" ht="15">
      <c r="A31" s="77">
        <v>89</v>
      </c>
      <c r="B31" s="32">
        <v>59</v>
      </c>
      <c r="C31" s="32"/>
      <c r="D31" s="32"/>
      <c r="E31" s="32"/>
      <c r="F31" s="32"/>
      <c r="G31" s="32"/>
    </row>
    <row r="32" spans="1:7" ht="15">
      <c r="A32" s="53">
        <v>114</v>
      </c>
      <c r="B32" s="32">
        <v>92</v>
      </c>
      <c r="C32" s="32"/>
      <c r="D32" s="32"/>
      <c r="E32" s="32"/>
      <c r="F32" s="32"/>
      <c r="G32" s="32"/>
    </row>
    <row r="33" spans="1:7" ht="15">
      <c r="A33" s="53">
        <v>140</v>
      </c>
      <c r="B33" s="32">
        <v>99</v>
      </c>
      <c r="C33" s="32"/>
      <c r="D33" s="32"/>
      <c r="E33" s="32"/>
      <c r="F33" s="32"/>
      <c r="G33" s="32"/>
    </row>
    <row r="34" spans="1:7" ht="15">
      <c r="A34" s="53">
        <v>168</v>
      </c>
      <c r="B34" s="32">
        <v>116</v>
      </c>
      <c r="C34" s="32"/>
      <c r="D34" s="32"/>
      <c r="E34" s="32"/>
      <c r="F34" s="32"/>
      <c r="G34" s="32"/>
    </row>
    <row r="35" spans="1:7" ht="15">
      <c r="A35" s="53">
        <v>219</v>
      </c>
      <c r="B35" s="32">
        <v>145</v>
      </c>
      <c r="C35" s="32"/>
      <c r="D35" s="32"/>
      <c r="E35" s="32"/>
      <c r="F35" s="32"/>
      <c r="G35" s="32"/>
    </row>
    <row r="36" spans="1:7" ht="15">
      <c r="A36" s="53">
        <v>273</v>
      </c>
      <c r="B36" s="32">
        <v>171</v>
      </c>
      <c r="C36" s="32"/>
      <c r="D36" s="32"/>
      <c r="E36" s="32"/>
      <c r="F36" s="32"/>
      <c r="G36" s="32"/>
    </row>
    <row r="37" spans="1:7" ht="15">
      <c r="A37" s="53">
        <v>324</v>
      </c>
      <c r="B37" s="32">
        <v>198</v>
      </c>
      <c r="C37" s="32"/>
      <c r="D37" s="32"/>
      <c r="E37" s="32"/>
      <c r="F37" s="32"/>
      <c r="G37" s="32"/>
    </row>
    <row r="38" spans="1:7" ht="15">
      <c r="A38" s="53"/>
      <c r="B38" s="32"/>
      <c r="C38" s="32"/>
      <c r="D38" s="32"/>
      <c r="E38" s="32"/>
      <c r="F38" s="32"/>
      <c r="G38" s="32"/>
    </row>
    <row r="39" spans="1:8" ht="15">
      <c r="A39" s="32" t="s">
        <v>60</v>
      </c>
      <c r="B39" s="50">
        <v>0.09</v>
      </c>
      <c r="C39" s="32"/>
      <c r="D39" s="32"/>
      <c r="E39" s="32"/>
      <c r="F39" s="32"/>
      <c r="G39" s="32"/>
      <c r="H39" s="46"/>
    </row>
    <row r="40" spans="1:8" ht="15">
      <c r="A40" s="32" t="s">
        <v>62</v>
      </c>
      <c r="B40" s="50">
        <v>150</v>
      </c>
      <c r="C40" s="32"/>
      <c r="D40" s="32"/>
      <c r="E40" s="32"/>
      <c r="F40" s="32"/>
      <c r="G40" s="32"/>
      <c r="H40" s="47"/>
    </row>
    <row r="41" spans="1:2" ht="15">
      <c r="A41" s="53"/>
      <c r="B41" s="32"/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Glauser</dc:creator>
  <cp:keywords/>
  <dc:description/>
  <cp:lastModifiedBy>Rolf Glauser</cp:lastModifiedBy>
  <cp:lastPrinted>2011-05-25T11:19:01Z</cp:lastPrinted>
  <dcterms:created xsi:type="dcterms:W3CDTF">2011-01-13T13:11:25Z</dcterms:created>
  <dcterms:modified xsi:type="dcterms:W3CDTF">2018-06-26T08:51:33Z</dcterms:modified>
  <cp:category/>
  <cp:version/>
  <cp:contentType/>
  <cp:contentStatus/>
</cp:coreProperties>
</file>