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saveExternalLinkValues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D:\Webausgaben Fr\"/>
    </mc:Choice>
  </mc:AlternateContent>
  <workbookProtection workbookAlgorithmName="SHA-512" workbookHashValue="K/irzVnncGgAweGTLKQ5WckLme6qD4ta0uRWx3hnjgXw/P40WPKAEJ0xgD6+akIrNdZRalzawGqycNPo+JXnuw==" workbookSaltValue="HGQ2FBEBJdHYSQUcCEAVhQ==" workbookSpinCount="100000" lockStructure="1"/>
  <bookViews>
    <workbookView xWindow="12135" yWindow="555" windowWidth="19410" windowHeight="12255" autoFilterDateGrouping="0"/>
  </bookViews>
  <sheets>
    <sheet name="Tool" sheetId="1" r:id="rId1"/>
    <sheet name="Formeln" sheetId="3" state="hidden" r:id="rId2"/>
    <sheet name="Hilfstool" sheetId="4" state="hidden" r:id="rId3"/>
    <sheet name="Tabelle1" sheetId="5" state="hidden" r:id="rId4"/>
    <sheet name="Tabelle2" sheetId="6" state="hidden" r:id="rId5"/>
    <sheet name="Tabelle3" sheetId="7" state="hidden" r:id="rId6"/>
    <sheet name="Tabelle4" sheetId="8" state="hidden" r:id="rId7"/>
  </sheets>
  <definedNames>
    <definedName name="Z_B8931168_3FC7_4411_8D60_84758EC59965_.wvu.Cols" localSheetId="0" hidden="1">Tool!$F:$XFD</definedName>
    <definedName name="Z_B8931168_3FC7_4411_8D60_84758EC59965_.wvu.Rows" localSheetId="0" hidden="1">Tool!$54:$1048576,Tool!$28:$52</definedName>
  </definedNames>
  <calcPr calcId="171027"/>
  <customWorkbookViews>
    <customWorkbookView name="Rolf Glauser - Persönliche Ansicht" guid="{B8931168-3FC7-4411-8D60-84758EC59965}" mergeInterval="0" personalView="1" xWindow="137" yWindow="66" windowWidth="1679" windowHeight="1311" activeSheetId="2"/>
  </customWorkbookViews>
</workbook>
</file>

<file path=xl/calcChain.xml><?xml version="1.0" encoding="utf-8"?>
<calcChain xmlns="http://schemas.openxmlformats.org/spreadsheetml/2006/main">
  <c r="B20" i="4" l="1"/>
  <c r="D13" i="4" s="1"/>
  <c r="D4" i="4" l="1"/>
  <c r="B22" i="4"/>
  <c r="D6" i="4" l="1"/>
  <c r="D5" i="4"/>
  <c r="C4" i="3"/>
  <c r="B10" i="3" s="1"/>
  <c r="B12" i="3"/>
  <c r="C26" i="1"/>
  <c r="B19" i="3"/>
  <c r="B21" i="3"/>
  <c r="B30" i="3" s="1"/>
  <c r="D21" i="3"/>
  <c r="B21" i="4"/>
  <c r="D16" i="4" s="1"/>
  <c r="E28" i="3"/>
  <c r="E7" i="3"/>
  <c r="E14" i="3"/>
  <c r="E12" i="3"/>
  <c r="B45" i="3"/>
  <c r="E9" i="3"/>
  <c r="E10" i="3" s="1"/>
  <c r="B44" i="3"/>
  <c r="B46" i="3" s="1"/>
  <c r="E30" i="3" l="1"/>
  <c r="D15" i="4"/>
  <c r="B27" i="3"/>
  <c r="B29" i="3" s="1"/>
  <c r="E29" i="3"/>
  <c r="E31" i="3" s="1"/>
  <c r="D7" i="4"/>
  <c r="C8" i="4" s="1"/>
  <c r="C17" i="1" s="1"/>
  <c r="D14" i="4"/>
  <c r="D17" i="4" l="1"/>
  <c r="C18" i="4" s="1"/>
  <c r="C18" i="1" l="1"/>
  <c r="C19" i="1" s="1"/>
  <c r="C21" i="1" s="1"/>
  <c r="C22" i="1" s="1"/>
  <c r="C27" i="1" s="1"/>
</calcChain>
</file>

<file path=xl/sharedStrings.xml><?xml version="1.0" encoding="utf-8"?>
<sst xmlns="http://schemas.openxmlformats.org/spreadsheetml/2006/main" count="133" uniqueCount="95">
  <si>
    <t>Berechnung des Wärmeübergangskoeffizienten (k-Wert)</t>
  </si>
  <si>
    <t>λ</t>
  </si>
  <si>
    <t>Wärmübergangskoeffizient ausen</t>
  </si>
  <si>
    <t>Wärmübergangskoeffizient innen</t>
  </si>
  <si>
    <t>Wärmeleitfähigkeit Isoliermaterial 1</t>
  </si>
  <si>
    <t>Wärmeleitfähigkeit Isoliermaterial 2</t>
  </si>
  <si>
    <t>Wärmeleitfähigkeit Isoliermaterial 3</t>
  </si>
  <si>
    <t>Ebene Flächen</t>
  </si>
  <si>
    <t>Dicke in m</t>
  </si>
  <si>
    <t>Für Rohre</t>
  </si>
  <si>
    <t>Ø Rohr ohne Isolierung</t>
  </si>
  <si>
    <t>Ø Rohr mit Isolierung</t>
  </si>
  <si>
    <t>In</t>
  </si>
  <si>
    <t>k= Wm/K</t>
  </si>
  <si>
    <t>k= Wm2/K</t>
  </si>
  <si>
    <t>Wärmestrom für Ebene Flächen</t>
  </si>
  <si>
    <t>ϧi Temperatur Medium</t>
  </si>
  <si>
    <t>ϧa Temperatur Umgebung</t>
  </si>
  <si>
    <t>°C</t>
  </si>
  <si>
    <t>k</t>
  </si>
  <si>
    <t>q= W/m2</t>
  </si>
  <si>
    <t>qr= W/m</t>
  </si>
  <si>
    <t>Oberflächentemperatur für ebene Flächen</t>
  </si>
  <si>
    <t>T Rohr= °C</t>
  </si>
  <si>
    <t>T Ebene= °C</t>
  </si>
  <si>
    <t>Wärmübergangskoeffizient aussen</t>
  </si>
  <si>
    <t>Wärmeleitfähigkeit von Dämmmaterialien in Abhänigikeit der Betriebstemperatur</t>
  </si>
  <si>
    <t>WKZ</t>
  </si>
  <si>
    <t>λ0</t>
  </si>
  <si>
    <t>W/mK</t>
  </si>
  <si>
    <t>b</t>
  </si>
  <si>
    <t>K</t>
  </si>
  <si>
    <t>Temperatur M</t>
  </si>
  <si>
    <t>Oberflächentemperatur</t>
  </si>
  <si>
    <t>λw (Wirksam)</t>
  </si>
  <si>
    <t>e</t>
  </si>
  <si>
    <t>Wärmeverlustberechnung</t>
  </si>
  <si>
    <t>Ø Rohr</t>
  </si>
  <si>
    <t>TM</t>
  </si>
  <si>
    <t>TU</t>
  </si>
  <si>
    <t>A/Einheit</t>
  </si>
  <si>
    <t>m2</t>
  </si>
  <si>
    <t>mm</t>
  </si>
  <si>
    <t xml:space="preserve">Energieeinsparung </t>
  </si>
  <si>
    <t>W/m</t>
  </si>
  <si>
    <t xml:space="preserve"> </t>
  </si>
  <si>
    <t>m</t>
  </si>
  <si>
    <t>Wärmeleitfähigkeit Eisen</t>
  </si>
  <si>
    <t>Teilergebnisse</t>
  </si>
  <si>
    <t>Wärmeleitfähigkeit Isoliermaterial</t>
  </si>
  <si>
    <t>WmK</t>
  </si>
  <si>
    <t>Ergebnis</t>
  </si>
  <si>
    <t>Wärmeübertragung von Rohren unisoliert</t>
  </si>
  <si>
    <t>Wärmeübertragung von Rohren isoliert</t>
  </si>
  <si>
    <t>Ø i</t>
  </si>
  <si>
    <t>Øa</t>
  </si>
  <si>
    <t>Ø Rohr mit Isol</t>
  </si>
  <si>
    <t>Ø Rohr mit Aussen</t>
  </si>
  <si>
    <t>Wm</t>
  </si>
  <si>
    <t>Preis pro kwh</t>
  </si>
  <si>
    <t>Grössenberechnung Behälter</t>
  </si>
  <si>
    <t>Preis pro m2</t>
  </si>
  <si>
    <t>Hinweise</t>
  </si>
  <si>
    <t xml:space="preserve"> Ø 22, 28, 35, 42, 60, 76, 89, 114, 140, 168, 219, 273, 324</t>
  </si>
  <si>
    <t>kW</t>
  </si>
  <si>
    <t>Investition</t>
  </si>
  <si>
    <t>Pos.:</t>
  </si>
  <si>
    <t>Température milieu</t>
  </si>
  <si>
    <t>Température environnement</t>
  </si>
  <si>
    <t>Longueur du tube</t>
  </si>
  <si>
    <t>économies d'énergie par année</t>
  </si>
  <si>
    <t>Années</t>
  </si>
  <si>
    <t xml:space="preserve">Fr. </t>
  </si>
  <si>
    <t>Fr./année</t>
  </si>
  <si>
    <t>Jours</t>
  </si>
  <si>
    <t>Kw/h Fr. 0.09</t>
  </si>
  <si>
    <t>Obj. nom:</t>
  </si>
  <si>
    <t>Client:</t>
  </si>
  <si>
    <t>Obj.No..:</t>
  </si>
  <si>
    <t xml:space="preserve">chauffage +70°C/+50°C = température moyenne +60°C                                                               </t>
  </si>
  <si>
    <t>Eau chaude = 360 jpurs à 18h   /                                             Chauffage 185 jours à 18h</t>
  </si>
  <si>
    <t>Jours de chauffage</t>
  </si>
  <si>
    <t>Epaisseur de l'isolation</t>
  </si>
  <si>
    <t>Diamètre des tubes</t>
  </si>
  <si>
    <t>Déperdition thermique sans isolation</t>
  </si>
  <si>
    <t>Déperdition thermique avec isolation</t>
  </si>
  <si>
    <t xml:space="preserve">économies d'énergie </t>
  </si>
  <si>
    <t>Coûts total de l'isolation</t>
  </si>
  <si>
    <t>Amortissement des coûts</t>
  </si>
  <si>
    <t>Hors intérêts du capital</t>
  </si>
  <si>
    <t>Matériau et montage</t>
  </si>
  <si>
    <t>Longueur des tubes non-isolés</t>
  </si>
  <si>
    <t>Selon la loi sur l'énergie</t>
  </si>
  <si>
    <t>Champs de résultat</t>
  </si>
  <si>
    <t>Champs de saisie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</si>
</sst>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&quot;Fr.&quot;\ * #,##0.00_ ;_ &quot;Fr.&quot;\ * \-#,##0.00_ ;_ &quot;Fr.&quot;\ * &quot;-&quot;??_ ;_ @_ "/>
    <numFmt numFmtId="165" formatCode="0.0000000000"/>
    <numFmt numFmtId="166" formatCode="0.000"/>
    <numFmt numFmtId="167" formatCode="0.0"/>
    <numFmt numFmtId="168" formatCode="0.0000000"/>
    <numFmt numFmtId="169" formatCode="#,##0.0"/>
    <numFmt numFmtId="170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15"/>
      <color rgb="FFFF0000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gradientFill degree="90">
        <stop position="0">
          <color rgb="FF00B05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1" fillId="5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5" borderId="1" xfId="0" applyFont="1" applyFill="1" applyBorder="1" applyAlignment="1"/>
    <xf numFmtId="165" fontId="2" fillId="7" borderId="0" xfId="0" applyNumberFormat="1" applyFont="1" applyFill="1" applyBorder="1" applyAlignment="1">
      <alignment horizontal="center"/>
    </xf>
    <xf numFmtId="165" fontId="0" fillId="7" borderId="0" xfId="0" applyNumberFormat="1" applyFill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5" xfId="0" applyNumberForma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3" borderId="0" xfId="0" applyFill="1" applyBorder="1"/>
    <xf numFmtId="0" fontId="0" fillId="0" borderId="0" xfId="0" applyFill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13" fontId="0" fillId="0" borderId="6" xfId="0" applyNumberFormat="1" applyBorder="1"/>
    <xf numFmtId="0" fontId="1" fillId="0" borderId="0" xfId="0" applyFont="1" applyAlignment="1">
      <alignment horizontal="left"/>
    </xf>
    <xf numFmtId="0" fontId="2" fillId="0" borderId="1" xfId="0" applyFont="1" applyBorder="1"/>
    <xf numFmtId="166" fontId="0" fillId="0" borderId="0" xfId="0" applyNumberFormat="1"/>
    <xf numFmtId="1" fontId="0" fillId="0" borderId="0" xfId="0" applyNumberFormat="1"/>
    <xf numFmtId="167" fontId="1" fillId="0" borderId="1" xfId="0" applyNumberFormat="1" applyFont="1" applyBorder="1"/>
    <xf numFmtId="0" fontId="1" fillId="0" borderId="6" xfId="0" applyFont="1" applyBorder="1"/>
    <xf numFmtId="167" fontId="0" fillId="0" borderId="1" xfId="0" applyNumberFormat="1" applyBorder="1"/>
    <xf numFmtId="168" fontId="0" fillId="0" borderId="0" xfId="0" applyNumberFormat="1" applyBorder="1"/>
    <xf numFmtId="168" fontId="0" fillId="0" borderId="8" xfId="0" applyNumberFormat="1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Border="1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3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" fontId="0" fillId="0" borderId="0" xfId="0" applyNumberFormat="1" applyFill="1" applyBorder="1"/>
    <xf numFmtId="0" fontId="1" fillId="0" borderId="0" xfId="0" applyFont="1" applyFill="1" applyBorder="1" applyAlignment="1">
      <alignment horizontal="right"/>
    </xf>
    <xf numFmtId="0" fontId="0" fillId="0" borderId="2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3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1" fillId="0" borderId="6" xfId="0" applyFont="1" applyFill="1" applyBorder="1"/>
    <xf numFmtId="13" fontId="1" fillId="0" borderId="7" xfId="0" applyNumberFormat="1" applyFont="1" applyFill="1" applyBorder="1" applyAlignment="1">
      <alignment horizontal="right"/>
    </xf>
    <xf numFmtId="0" fontId="1" fillId="0" borderId="8" xfId="0" applyFont="1" applyFill="1" applyBorder="1"/>
    <xf numFmtId="0" fontId="1" fillId="0" borderId="4" xfId="0" applyFont="1" applyFill="1" applyBorder="1"/>
    <xf numFmtId="1" fontId="0" fillId="0" borderId="7" xfId="0" applyNumberFormat="1" applyFill="1" applyBorder="1" applyAlignment="1">
      <alignment horizontal="left"/>
    </xf>
    <xf numFmtId="0" fontId="1" fillId="0" borderId="9" xfId="0" applyFont="1" applyFill="1" applyBorder="1"/>
    <xf numFmtId="165" fontId="2" fillId="0" borderId="8" xfId="0" applyNumberFormat="1" applyFont="1" applyFill="1" applyBorder="1" applyAlignment="1">
      <alignment horizontal="center"/>
    </xf>
    <xf numFmtId="13" fontId="0" fillId="0" borderId="8" xfId="0" applyNumberFormat="1" applyFill="1" applyBorder="1"/>
    <xf numFmtId="1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67" fontId="6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64" fontId="6" fillId="0" borderId="0" xfId="1" applyFont="1" applyFill="1" applyBorder="1"/>
    <xf numFmtId="0" fontId="7" fillId="0" borderId="0" xfId="0" applyFont="1" applyFill="1" applyBorder="1"/>
    <xf numFmtId="167" fontId="7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8" borderId="0" xfId="0" applyFont="1" applyFill="1" applyBorder="1"/>
    <xf numFmtId="0" fontId="7" fillId="1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left"/>
    </xf>
    <xf numFmtId="0" fontId="7" fillId="10" borderId="17" xfId="0" applyFont="1" applyFill="1" applyBorder="1"/>
    <xf numFmtId="0" fontId="7" fillId="10" borderId="13" xfId="0" applyFont="1" applyFill="1" applyBorder="1" applyAlignment="1">
      <alignment wrapText="1"/>
    </xf>
    <xf numFmtId="0" fontId="7" fillId="1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1" fontId="5" fillId="14" borderId="15" xfId="0" applyNumberFormat="1" applyFont="1" applyFill="1" applyBorder="1" applyAlignment="1" applyProtection="1">
      <alignment horizontal="right"/>
      <protection locked="0"/>
    </xf>
    <xf numFmtId="0" fontId="5" fillId="9" borderId="16" xfId="0" applyFont="1" applyFill="1" applyBorder="1"/>
    <xf numFmtId="0" fontId="5" fillId="14" borderId="15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69" fontId="5" fillId="11" borderId="11" xfId="0" applyNumberFormat="1" applyFont="1" applyFill="1" applyBorder="1" applyAlignment="1">
      <alignment horizontal="right"/>
    </xf>
    <xf numFmtId="0" fontId="5" fillId="8" borderId="18" xfId="0" applyFont="1" applyFill="1" applyBorder="1"/>
    <xf numFmtId="169" fontId="5" fillId="11" borderId="11" xfId="0" applyNumberFormat="1" applyFont="1" applyFill="1" applyBorder="1" applyAlignment="1">
      <alignment horizontal="right" vertical="center"/>
    </xf>
    <xf numFmtId="0" fontId="5" fillId="8" borderId="18" xfId="0" applyFont="1" applyFill="1" applyBorder="1" applyAlignment="1">
      <alignment vertical="center"/>
    </xf>
    <xf numFmtId="170" fontId="5" fillId="12" borderId="11" xfId="1" applyNumberFormat="1" applyFont="1" applyFill="1" applyBorder="1" applyAlignment="1">
      <alignment horizontal="right" vertical="center"/>
    </xf>
    <xf numFmtId="0" fontId="5" fillId="12" borderId="18" xfId="0" applyFont="1" applyFill="1" applyBorder="1" applyAlignment="1">
      <alignment vertical="center"/>
    </xf>
    <xf numFmtId="167" fontId="5" fillId="12" borderId="11" xfId="0" applyNumberFormat="1" applyFont="1" applyFill="1" applyBorder="1" applyAlignment="1">
      <alignment horizontal="right" vertical="center"/>
    </xf>
    <xf numFmtId="0" fontId="5" fillId="8" borderId="11" xfId="0" applyFont="1" applyFill="1" applyBorder="1" applyAlignment="1">
      <alignment horizontal="left" vertical="center"/>
    </xf>
    <xf numFmtId="0" fontId="5" fillId="12" borderId="11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left" vertical="center"/>
    </xf>
    <xf numFmtId="0" fontId="5" fillId="9" borderId="14" xfId="0" applyFont="1" applyFill="1" applyBorder="1" applyAlignment="1">
      <alignment vertical="center"/>
    </xf>
    <xf numFmtId="0" fontId="5" fillId="9" borderId="14" xfId="0" applyFont="1" applyFill="1" applyBorder="1" applyAlignment="1">
      <alignment horizontal="right" vertical="center"/>
    </xf>
    <xf numFmtId="0" fontId="5" fillId="9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8" borderId="12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5" fillId="8" borderId="12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5" fillId="12" borderId="11" xfId="0" applyFont="1" applyFill="1" applyBorder="1" applyAlignment="1">
      <alignment vertical="center"/>
    </xf>
    <xf numFmtId="0" fontId="5" fillId="12" borderId="12" xfId="0" applyFont="1" applyFill="1" applyBorder="1" applyAlignment="1">
      <alignment vertical="center"/>
    </xf>
    <xf numFmtId="0" fontId="10" fillId="4" borderId="11" xfId="0" applyFont="1" applyFill="1" applyBorder="1" applyAlignment="1" applyProtection="1">
      <alignment horizontal="left"/>
      <protection locked="0"/>
    </xf>
    <xf numFmtId="0" fontId="10" fillId="4" borderId="12" xfId="0" applyFont="1" applyFill="1" applyBorder="1" applyAlignment="1" applyProtection="1">
      <alignment horizontal="right"/>
      <protection locked="0"/>
    </xf>
    <xf numFmtId="164" fontId="5" fillId="0" borderId="0" xfId="1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895819</xdr:colOff>
      <xdr:row>0</xdr:row>
      <xdr:rowOff>22151</xdr:rowOff>
    </xdr:from>
    <xdr:to>
      <xdr:col>16384</xdr:col>
      <xdr:colOff>188285</xdr:colOff>
      <xdr:row>5</xdr:row>
      <xdr:rowOff>260276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331" y="22151"/>
          <a:ext cx="1983832" cy="131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outlinePr showOutlineSymbols="0"/>
    <pageSetUpPr autoPageBreaks="0"/>
  </sheetPr>
  <dimension ref="A1:L53"/>
  <sheetViews>
    <sheetView showGridLines="0" showRowColHeaders="0" tabSelected="1" showRuler="0" showOutlineSymbols="0" showWhiteSpace="0" view="pageLayout" zoomScale="86" zoomScaleNormal="80" zoomScaleSheetLayoutView="96" zoomScalePageLayoutView="86" workbookViewId="0">
      <selection activeCell="B2" sqref="B2"/>
    </sheetView>
  </sheetViews>
  <sheetFormatPr baseColWidth="10" defaultColWidth="0" defaultRowHeight="18" zeroHeight="1" x14ac:dyDescent="0.25"/>
  <cols>
    <col min="1" max="1" width="11.140625" style="79" customWidth="1"/>
    <col min="2" max="2" width="25.5703125" style="80" customWidth="1"/>
    <col min="3" max="3" width="13.7109375" style="86" customWidth="1"/>
    <col min="4" max="4" width="10.42578125" style="80" customWidth="1"/>
    <col min="5" max="5" width="37.42578125" style="80" customWidth="1"/>
    <col min="6" max="6" width="4.5703125" style="80" hidden="1" customWidth="1"/>
    <col min="7" max="7" width="30" style="80" hidden="1" customWidth="1"/>
    <col min="8" max="8" width="7.140625" style="79" hidden="1" customWidth="1"/>
    <col min="9" max="9" width="30" style="80" hidden="1" customWidth="1"/>
    <col min="10" max="10" width="11.7109375" style="80" hidden="1" customWidth="1"/>
    <col min="11" max="11" width="13.7109375" style="80" hidden="1" customWidth="1"/>
    <col min="12" max="16384" width="11.42578125" style="80" hidden="1"/>
  </cols>
  <sheetData>
    <row r="1" spans="1:10" ht="16.5" customHeight="1" thickBot="1" x14ac:dyDescent="0.3">
      <c r="A1" s="100" t="s">
        <v>78</v>
      </c>
      <c r="B1" s="132"/>
      <c r="C1" s="133"/>
      <c r="D1" s="79"/>
      <c r="E1" s="79"/>
      <c r="F1" s="79"/>
      <c r="G1" s="79"/>
      <c r="I1" s="79"/>
    </row>
    <row r="2" spans="1:10" ht="16.5" customHeight="1" thickBot="1" x14ac:dyDescent="0.3">
      <c r="A2" s="101" t="s">
        <v>76</v>
      </c>
      <c r="B2" s="132"/>
      <c r="C2" s="133"/>
      <c r="D2" s="79"/>
      <c r="E2" s="79"/>
      <c r="F2" s="79"/>
      <c r="G2" s="79"/>
      <c r="I2" s="79"/>
    </row>
    <row r="3" spans="1:10" ht="16.5" customHeight="1" thickBot="1" x14ac:dyDescent="0.3">
      <c r="A3" s="101" t="s">
        <v>77</v>
      </c>
      <c r="B3" s="132"/>
      <c r="C3" s="133"/>
      <c r="D3" s="79"/>
      <c r="E3" s="79"/>
      <c r="F3" s="79"/>
      <c r="G3" s="79"/>
      <c r="I3" s="79"/>
    </row>
    <row r="4" spans="1:10" ht="16.5" customHeight="1" thickBot="1" x14ac:dyDescent="0.3">
      <c r="A4" s="101" t="s">
        <v>66</v>
      </c>
      <c r="B4" s="132"/>
      <c r="C4" s="133"/>
      <c r="D4" s="79"/>
      <c r="E4" s="79"/>
      <c r="F4" s="79"/>
      <c r="G4" s="79"/>
      <c r="I4" s="79"/>
    </row>
    <row r="5" spans="1:10" x14ac:dyDescent="0.25">
      <c r="A5" s="99"/>
      <c r="B5" s="97"/>
      <c r="C5" s="98"/>
      <c r="D5" s="79"/>
      <c r="E5" s="79"/>
      <c r="F5" s="79"/>
      <c r="G5" s="79"/>
      <c r="I5" s="79"/>
    </row>
    <row r="6" spans="1:10" ht="28.35" customHeight="1" x14ac:dyDescent="0.3">
      <c r="A6" s="78"/>
      <c r="B6" s="96" t="s">
        <v>94</v>
      </c>
      <c r="D6" s="79"/>
      <c r="F6" s="79"/>
      <c r="G6" s="79"/>
      <c r="I6" s="79"/>
    </row>
    <row r="7" spans="1:10" ht="28.35" customHeight="1" x14ac:dyDescent="0.25">
      <c r="A7" s="80"/>
      <c r="B7" s="79"/>
      <c r="D7" s="79"/>
      <c r="E7" s="105" t="s">
        <v>62</v>
      </c>
      <c r="F7" s="79"/>
      <c r="G7" s="79"/>
      <c r="I7" s="79"/>
      <c r="J7" s="79"/>
    </row>
    <row r="8" spans="1:10" ht="28.35" customHeight="1" x14ac:dyDescent="0.25">
      <c r="A8" s="120" t="s">
        <v>68</v>
      </c>
      <c r="B8" s="121"/>
      <c r="C8" s="106">
        <v>0</v>
      </c>
      <c r="D8" s="107" t="s">
        <v>18</v>
      </c>
      <c r="E8" s="102"/>
    </row>
    <row r="9" spans="1:10" ht="28.35" customHeight="1" x14ac:dyDescent="0.25">
      <c r="A9" s="120" t="s">
        <v>67</v>
      </c>
      <c r="B9" s="121"/>
      <c r="C9" s="108">
        <v>0</v>
      </c>
      <c r="D9" s="107" t="s">
        <v>18</v>
      </c>
      <c r="E9" s="103" t="s">
        <v>79</v>
      </c>
    </row>
    <row r="10" spans="1:10" ht="28.35" customHeight="1" x14ac:dyDescent="0.25">
      <c r="A10" s="120" t="s">
        <v>83</v>
      </c>
      <c r="B10" s="122"/>
      <c r="C10" s="108">
        <v>0</v>
      </c>
      <c r="D10" s="107" t="s">
        <v>42</v>
      </c>
      <c r="E10" s="103" t="s">
        <v>63</v>
      </c>
      <c r="G10" s="87"/>
      <c r="H10" s="80"/>
    </row>
    <row r="11" spans="1:10" ht="28.35" customHeight="1" x14ac:dyDescent="0.25">
      <c r="A11" s="120" t="s">
        <v>82</v>
      </c>
      <c r="B11" s="122"/>
      <c r="C11" s="108">
        <v>0</v>
      </c>
      <c r="D11" s="107" t="s">
        <v>42</v>
      </c>
      <c r="E11" s="104" t="s">
        <v>92</v>
      </c>
      <c r="G11" s="87"/>
      <c r="H11" s="88"/>
    </row>
    <row r="12" spans="1:10" ht="28.35" customHeight="1" x14ac:dyDescent="0.25">
      <c r="A12" s="120" t="s">
        <v>69</v>
      </c>
      <c r="B12" s="121"/>
      <c r="C12" s="108">
        <v>0</v>
      </c>
      <c r="D12" s="107" t="s">
        <v>46</v>
      </c>
      <c r="E12" s="104" t="s">
        <v>91</v>
      </c>
    </row>
    <row r="13" spans="1:10" ht="28.35" customHeight="1" x14ac:dyDescent="0.25">
      <c r="A13" s="123" t="s">
        <v>81</v>
      </c>
      <c r="B13" s="121"/>
      <c r="C13" s="108">
        <v>0</v>
      </c>
      <c r="D13" s="107" t="s">
        <v>74</v>
      </c>
      <c r="E13" s="103" t="s">
        <v>80</v>
      </c>
    </row>
    <row r="14" spans="1:10" ht="28.35" customHeight="1" x14ac:dyDescent="0.25">
      <c r="A14" s="124"/>
      <c r="B14" s="125"/>
      <c r="C14" s="109"/>
      <c r="D14" s="110"/>
      <c r="E14" s="84"/>
    </row>
    <row r="15" spans="1:10" ht="28.35" customHeight="1" x14ac:dyDescent="0.3">
      <c r="A15" s="124"/>
      <c r="B15" s="96" t="s">
        <v>93</v>
      </c>
      <c r="C15" s="109"/>
      <c r="D15" s="110"/>
      <c r="E15" s="84"/>
    </row>
    <row r="16" spans="1:10" ht="28.35" customHeight="1" thickBot="1" x14ac:dyDescent="0.3">
      <c r="A16" s="124"/>
      <c r="B16" s="125"/>
      <c r="C16" s="109"/>
      <c r="D16" s="110"/>
      <c r="E16" s="84"/>
      <c r="G16" s="89"/>
      <c r="I16" s="89"/>
    </row>
    <row r="17" spans="1:12" ht="28.35" customHeight="1" thickBot="1" x14ac:dyDescent="0.3">
      <c r="A17" s="118" t="s">
        <v>84</v>
      </c>
      <c r="B17" s="126"/>
      <c r="C17" s="111" t="e">
        <f>Hilfstool!C8*(C9-C8)*C12</f>
        <v>#DIV/0!</v>
      </c>
      <c r="D17" s="112" t="s">
        <v>58</v>
      </c>
      <c r="E17" s="94"/>
      <c r="G17" s="136"/>
      <c r="H17" s="136"/>
      <c r="I17" s="136"/>
    </row>
    <row r="18" spans="1:12" ht="28.35" customHeight="1" thickBot="1" x14ac:dyDescent="0.3">
      <c r="A18" s="127" t="s">
        <v>85</v>
      </c>
      <c r="B18" s="128"/>
      <c r="C18" s="111" t="e">
        <f>Hilfstool!C18*(C9-C8)*C12*1.1</f>
        <v>#DIV/0!</v>
      </c>
      <c r="D18" s="112" t="s">
        <v>58</v>
      </c>
      <c r="E18" s="94"/>
      <c r="H18" s="80"/>
    </row>
    <row r="19" spans="1:12" ht="28.35" customHeight="1" thickBot="1" x14ac:dyDescent="0.3">
      <c r="A19" s="118" t="s">
        <v>86</v>
      </c>
      <c r="B19" s="126"/>
      <c r="C19" s="113" t="e">
        <f>C17-C18</f>
        <v>#DIV/0!</v>
      </c>
      <c r="D19" s="114" t="s">
        <v>58</v>
      </c>
      <c r="E19" s="94"/>
      <c r="H19" s="80"/>
    </row>
    <row r="20" spans="1:12" ht="28.35" customHeight="1" thickBot="1" x14ac:dyDescent="0.3">
      <c r="A20" s="124"/>
      <c r="B20" s="124"/>
      <c r="C20" s="109"/>
      <c r="D20" s="110"/>
      <c r="E20" s="93"/>
    </row>
    <row r="21" spans="1:12" ht="28.35" customHeight="1" thickBot="1" x14ac:dyDescent="0.3">
      <c r="A21" s="118" t="s">
        <v>70</v>
      </c>
      <c r="B21" s="126"/>
      <c r="C21" s="111" t="e">
        <f>(C19*(C13*18))/1000</f>
        <v>#DIV/0!</v>
      </c>
      <c r="D21" s="112" t="s">
        <v>64</v>
      </c>
      <c r="E21" s="94"/>
    </row>
    <row r="22" spans="1:12" ht="28.35" customHeight="1" thickBot="1" x14ac:dyDescent="0.3">
      <c r="A22" s="118" t="s">
        <v>70</v>
      </c>
      <c r="B22" s="126"/>
      <c r="C22" s="111" t="e">
        <f>C21*Hilfstool!B39</f>
        <v>#DIV/0!</v>
      </c>
      <c r="D22" s="112" t="s">
        <v>73</v>
      </c>
      <c r="E22" s="94" t="s">
        <v>75</v>
      </c>
      <c r="H22" s="80"/>
      <c r="K22" s="90"/>
      <c r="L22" s="90"/>
    </row>
    <row r="23" spans="1:12" ht="28.35" customHeight="1" x14ac:dyDescent="0.25">
      <c r="A23" s="124"/>
      <c r="B23" s="124"/>
      <c r="C23" s="134"/>
      <c r="D23" s="135"/>
      <c r="E23" s="85"/>
      <c r="F23" s="81"/>
      <c r="G23" s="82"/>
      <c r="H23" s="82"/>
      <c r="I23" s="83"/>
      <c r="J23" s="82"/>
    </row>
    <row r="24" spans="1:12" ht="28.35" customHeight="1" x14ac:dyDescent="0.25">
      <c r="A24" s="124"/>
      <c r="B24" s="129" t="s">
        <v>65</v>
      </c>
      <c r="C24" s="134"/>
      <c r="D24" s="135"/>
      <c r="E24" s="85"/>
      <c r="F24" s="81"/>
      <c r="G24" s="82"/>
      <c r="H24" s="82"/>
      <c r="I24" s="83"/>
      <c r="J24" s="82"/>
    </row>
    <row r="25" spans="1:12" ht="28.35" customHeight="1" thickBot="1" x14ac:dyDescent="0.3">
      <c r="A25" s="124"/>
      <c r="B25" s="124"/>
      <c r="C25" s="109"/>
      <c r="D25" s="110"/>
      <c r="E25" s="84"/>
    </row>
    <row r="26" spans="1:12" ht="28.35" customHeight="1" thickBot="1" x14ac:dyDescent="0.3">
      <c r="A26" s="130" t="s">
        <v>87</v>
      </c>
      <c r="B26" s="131"/>
      <c r="C26" s="115" t="str">
        <f>IF(C10=22,Hilfstool!B25*Tool!C12,IF(C10=28,Hilfstool!B26*Tool!C12,IF(C10=35,Hilfstool!B27*Tool!C12,IF(C10=42,Hilfstool!B28*Tool!C12,IF(C10=60,Hilfstool!B29*Tool!C12,IF(C10=76,Hilfstool!B30*Tool!C12,IF(C10=89,Hilfstool!B31*Tool!C12,IF(C10=114,Hilfstool!B32*Tool!C12,IF(C10=140,Hilfstool!B33*Tool!C12,IF(C10=168,Hilfstool!B34*Tool!C12,IF(C10=219,Hilfstool!B35*Tool!C12,IF(C10=273,Hilfstool!B36*Tool!C12,IF(C10=324,Hilfstool!B37*Tool!C12,IF(C10=508,Hilfstool!B38*Tool!C12,""))))))))))))))</f>
        <v/>
      </c>
      <c r="D26" s="116" t="s">
        <v>72</v>
      </c>
      <c r="E26" s="95" t="s">
        <v>90</v>
      </c>
    </row>
    <row r="27" spans="1:12" s="91" customFormat="1" ht="28.35" customHeight="1" thickBot="1" x14ac:dyDescent="0.3">
      <c r="A27" s="119" t="s">
        <v>88</v>
      </c>
      <c r="B27" s="131"/>
      <c r="C27" s="117" t="str">
        <f>IF(C26="","",C26/C$22)</f>
        <v/>
      </c>
      <c r="D27" s="116" t="s">
        <v>71</v>
      </c>
      <c r="E27" s="95" t="s">
        <v>89</v>
      </c>
      <c r="H27" s="79"/>
    </row>
    <row r="28" spans="1:12" hidden="1" x14ac:dyDescent="0.25">
      <c r="A28" s="80"/>
      <c r="E28" s="84"/>
    </row>
    <row r="29" spans="1:12" hidden="1" x14ac:dyDescent="0.25">
      <c r="A29" s="80"/>
      <c r="E29" s="84"/>
    </row>
    <row r="30" spans="1:12" hidden="1" x14ac:dyDescent="0.25">
      <c r="A30" s="80"/>
      <c r="E30" s="84"/>
    </row>
    <row r="31" spans="1:12" hidden="1" x14ac:dyDescent="0.25">
      <c r="A31" s="80"/>
      <c r="E31" s="84"/>
    </row>
    <row r="32" spans="1:12" hidden="1" x14ac:dyDescent="0.25">
      <c r="A32" s="80"/>
      <c r="E32" s="84"/>
    </row>
    <row r="33" spans="1:8" hidden="1" x14ac:dyDescent="0.25">
      <c r="A33" s="80"/>
      <c r="E33" s="84"/>
    </row>
    <row r="34" spans="1:8" hidden="1" x14ac:dyDescent="0.25">
      <c r="A34" s="80"/>
      <c r="E34" s="84"/>
    </row>
    <row r="35" spans="1:8" hidden="1" x14ac:dyDescent="0.25">
      <c r="A35" s="80"/>
      <c r="E35" s="84"/>
    </row>
    <row r="36" spans="1:8" hidden="1" x14ac:dyDescent="0.25">
      <c r="A36" s="80"/>
      <c r="E36" s="84"/>
    </row>
    <row r="37" spans="1:8" hidden="1" x14ac:dyDescent="0.25">
      <c r="A37" s="80"/>
      <c r="E37" s="84"/>
      <c r="H37" s="80"/>
    </row>
    <row r="38" spans="1:8" hidden="1" x14ac:dyDescent="0.25">
      <c r="A38" s="80"/>
      <c r="E38" s="84"/>
      <c r="H38" s="80"/>
    </row>
    <row r="39" spans="1:8" hidden="1" x14ac:dyDescent="0.25">
      <c r="A39" s="80"/>
      <c r="B39" s="92"/>
      <c r="E39" s="84"/>
      <c r="H39" s="80"/>
    </row>
    <row r="40" spans="1:8" hidden="1" x14ac:dyDescent="0.25">
      <c r="A40" s="80"/>
      <c r="E40" s="84"/>
      <c r="H40" s="80"/>
    </row>
    <row r="41" spans="1:8" hidden="1" x14ac:dyDescent="0.25">
      <c r="A41" s="80"/>
      <c r="E41" s="84"/>
      <c r="H41" s="80"/>
    </row>
    <row r="42" spans="1:8" hidden="1" x14ac:dyDescent="0.25">
      <c r="A42" s="80"/>
      <c r="E42" s="84"/>
      <c r="H42" s="80"/>
    </row>
    <row r="43" spans="1:8" hidden="1" x14ac:dyDescent="0.25">
      <c r="A43" s="80"/>
      <c r="E43" s="84"/>
      <c r="H43" s="80"/>
    </row>
    <row r="44" spans="1:8" hidden="1" x14ac:dyDescent="0.25">
      <c r="A44" s="80"/>
      <c r="E44" s="84"/>
      <c r="H44" s="80"/>
    </row>
    <row r="45" spans="1:8" hidden="1" x14ac:dyDescent="0.25">
      <c r="A45" s="80"/>
      <c r="E45" s="84"/>
      <c r="H45" s="80"/>
    </row>
    <row r="46" spans="1:8" hidden="1" x14ac:dyDescent="0.25">
      <c r="A46" s="80"/>
      <c r="E46" s="84"/>
      <c r="H46" s="80"/>
    </row>
    <row r="47" spans="1:8" hidden="1" x14ac:dyDescent="0.25">
      <c r="A47" s="80"/>
      <c r="E47" s="84"/>
      <c r="H47" s="80"/>
    </row>
    <row r="48" spans="1:8" hidden="1" x14ac:dyDescent="0.25">
      <c r="A48" s="80"/>
      <c r="E48" s="84"/>
      <c r="H48" s="80"/>
    </row>
    <row r="49" spans="1:8" hidden="1" x14ac:dyDescent="0.25">
      <c r="A49" s="80"/>
      <c r="E49" s="84"/>
      <c r="H49" s="80"/>
    </row>
    <row r="50" spans="1:8" hidden="1" x14ac:dyDescent="0.25">
      <c r="A50" s="80"/>
      <c r="E50" s="84"/>
      <c r="H50" s="80"/>
    </row>
    <row r="51" spans="1:8" hidden="1" x14ac:dyDescent="0.25">
      <c r="A51" s="80"/>
      <c r="H51" s="80"/>
    </row>
    <row r="52" spans="1:8" hidden="1" x14ac:dyDescent="0.25"/>
    <row r="53" spans="1:8" x14ac:dyDescent="0.25"/>
  </sheetData>
  <sheetProtection algorithmName="SHA-512" hashValue="tMWGo4+aNYNJT+PF7tk3djlQ/Wm9HFen0Ve1UMfcGfMQSECiSoR8drtKjoKdPrMIcsvuUaXMZqD3l1JAwuCToA==" saltValue="LwnGfg6g098UwBn6wpXv5Q==" spinCount="100000" sheet="1" selectLockedCells="1"/>
  <protectedRanges>
    <protectedRange sqref="C8:C13 H11" name="Bereich1"/>
  </protectedRanges>
  <customSheetViews>
    <customSheetView guid="{B8931168-3FC7-4411-8D60-84758EC59965}" scale="86" showGridLines="0" showRowCol="0" outlineSymbols="0" hiddenRows="1" hiddenColumns="1" view="pageLayout" showRuler="0">
      <selection activeCell="E10" sqref="E10"/>
      <pageMargins left="0.25" right="0.25" top="0.75" bottom="0.75" header="0.3" footer="0.3"/>
      <pageSetup paperSize="9" pageOrder="overThenDown" orientation="portrait" r:id="rId1"/>
      <headerFooter>
        <oddHeader>&amp;C&amp;"-,Fett"&amp;16 Wärmeverlustberechnung von Heizung - und Warmwasserleitungen</oddHeader>
        <oddFooter>&amp;C&amp;"-,Fett"&amp;20ISOLSUISSE</oddFooter>
      </headerFooter>
    </customSheetView>
  </customSheetViews>
  <mergeCells count="3">
    <mergeCell ref="C24:D24"/>
    <mergeCell ref="G17:I17"/>
    <mergeCell ref="C23:D23"/>
  </mergeCells>
  <pageMargins left="0.25" right="0.25" top="0.75" bottom="0.75" header="0.3" footer="0.3"/>
  <pageSetup paperSize="9" pageOrder="overThenDown" orientation="portrait" r:id="rId2"/>
  <headerFooter>
    <oddHeader>&amp;C&amp;"-,Fett"&amp;14Calculation de la déperdition thermique des tubes de chauffage et des tubes de l'eau chaude</oddHeader>
    <oddFooter>&amp;C&amp;"-,Fett"&amp;20ISOLSUISSE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47"/>
  <sheetViews>
    <sheetView workbookViewId="0">
      <selection activeCell="B5" sqref="B5"/>
    </sheetView>
  </sheetViews>
  <sheetFormatPr baseColWidth="10" defaultRowHeight="15" x14ac:dyDescent="0.25"/>
  <cols>
    <col min="1" max="1" width="35.85546875" customWidth="1"/>
    <col min="2" max="2" width="12.5703125" bestFit="1" customWidth="1"/>
    <col min="3" max="3" width="13.5703125" customWidth="1"/>
    <col min="4" max="4" width="23.7109375" customWidth="1"/>
    <col min="5" max="5" width="30" bestFit="1" customWidth="1"/>
    <col min="6" max="6" width="14.5703125" customWidth="1"/>
  </cols>
  <sheetData>
    <row r="1" spans="1:8" x14ac:dyDescent="0.25">
      <c r="A1" s="19" t="s">
        <v>0</v>
      </c>
      <c r="B1" s="20"/>
      <c r="C1" s="21"/>
    </row>
    <row r="2" spans="1:8" x14ac:dyDescent="0.25">
      <c r="A2" s="33"/>
      <c r="B2" s="2"/>
      <c r="C2" s="23"/>
    </row>
    <row r="3" spans="1:8" s="6" customFormat="1" ht="15.75" thickBot="1" x14ac:dyDescent="0.3">
      <c r="A3" s="34" t="s">
        <v>7</v>
      </c>
      <c r="B3" s="1" t="s">
        <v>1</v>
      </c>
      <c r="C3" s="35" t="s">
        <v>8</v>
      </c>
      <c r="D3" s="37" t="s">
        <v>26</v>
      </c>
    </row>
    <row r="4" spans="1:8" ht="15.75" thickBot="1" x14ac:dyDescent="0.3">
      <c r="A4" s="30" t="s">
        <v>4</v>
      </c>
      <c r="B4" s="15">
        <v>4.4999999999999998E-2</v>
      </c>
      <c r="C4" s="11" t="e">
        <f>#REF!/1000</f>
        <v>#REF!</v>
      </c>
    </row>
    <row r="5" spans="1:8" ht="15.75" thickBot="1" x14ac:dyDescent="0.3">
      <c r="A5" s="30" t="s">
        <v>5</v>
      </c>
      <c r="B5" s="15">
        <v>0.04</v>
      </c>
      <c r="C5" s="11">
        <v>0</v>
      </c>
      <c r="D5" t="s">
        <v>28</v>
      </c>
      <c r="E5" s="38">
        <v>3.2000000000000001E-2</v>
      </c>
      <c r="F5" t="s">
        <v>29</v>
      </c>
    </row>
    <row r="6" spans="1:8" ht="15.75" thickBot="1" x14ac:dyDescent="0.3">
      <c r="A6" s="30" t="s">
        <v>6</v>
      </c>
      <c r="B6" s="15">
        <v>0.04</v>
      </c>
      <c r="C6" s="11">
        <v>0</v>
      </c>
      <c r="D6" t="s">
        <v>30</v>
      </c>
      <c r="E6">
        <v>3.3E-3</v>
      </c>
      <c r="F6" t="s">
        <v>31</v>
      </c>
    </row>
    <row r="7" spans="1:8" x14ac:dyDescent="0.25">
      <c r="A7" s="29" t="s">
        <v>25</v>
      </c>
      <c r="B7" s="4">
        <v>4.3478260869565216E-2</v>
      </c>
      <c r="C7" s="36">
        <v>4.3478260869565216E-2</v>
      </c>
      <c r="D7" t="s">
        <v>27</v>
      </c>
      <c r="E7">
        <f>1000*E5+100*E6</f>
        <v>32.33</v>
      </c>
    </row>
    <row r="8" spans="1:8" ht="15.75" thickBot="1" x14ac:dyDescent="0.3">
      <c r="A8" s="29" t="s">
        <v>3</v>
      </c>
      <c r="B8" s="5">
        <v>0.14285714285714285</v>
      </c>
      <c r="C8" s="36">
        <v>0.14285714285714285</v>
      </c>
      <c r="D8" t="s">
        <v>32</v>
      </c>
      <c r="E8" s="40">
        <v>650</v>
      </c>
    </row>
    <row r="9" spans="1:8" ht="15.75" thickBot="1" x14ac:dyDescent="0.3">
      <c r="A9" s="33"/>
      <c r="B9" s="2"/>
      <c r="C9" s="23"/>
      <c r="D9" t="s">
        <v>33</v>
      </c>
      <c r="E9" s="43">
        <f>B45</f>
        <v>34.434389140271492</v>
      </c>
      <c r="F9" s="2"/>
    </row>
    <row r="10" spans="1:8" ht="15.75" thickBot="1" x14ac:dyDescent="0.3">
      <c r="A10" s="25" t="s">
        <v>14</v>
      </c>
      <c r="B10" s="12" t="e">
        <f>1/(B8+B7+(C4/B4)+(C5/B5)+(C6/B6))</f>
        <v>#REF!</v>
      </c>
      <c r="C10" s="23"/>
      <c r="D10" t="s">
        <v>34</v>
      </c>
      <c r="E10">
        <f>E5*(((LN(E6*E8))-((LN(E6*E9))))/((E6*(E8-E9))))</f>
        <v>4.628083159818782E-2</v>
      </c>
    </row>
    <row r="11" spans="1:8" ht="15.75" thickBot="1" x14ac:dyDescent="0.3">
      <c r="A11" s="24"/>
      <c r="B11" s="2">
        <v>69</v>
      </c>
      <c r="C11" s="23">
        <v>5.0000000000000001E-3</v>
      </c>
      <c r="D11" t="s">
        <v>35</v>
      </c>
      <c r="E11">
        <v>2.7182819999999999</v>
      </c>
    </row>
    <row r="12" spans="1:8" ht="15.75" thickBot="1" x14ac:dyDescent="0.3">
      <c r="A12" s="24"/>
      <c r="B12" s="12">
        <f>1/((B7+B8)+((C5/B5)+(C6/B6)+(C11/B11)))</f>
        <v>5.3645804409396343</v>
      </c>
      <c r="C12" s="23"/>
      <c r="E12" s="39">
        <f>E5*(E11*(E6*350))</f>
        <v>0.10046770272</v>
      </c>
    </row>
    <row r="13" spans="1:8" ht="15.75" thickBot="1" x14ac:dyDescent="0.3">
      <c r="A13" s="25" t="s">
        <v>9</v>
      </c>
      <c r="B13" s="2"/>
      <c r="C13" s="23"/>
    </row>
    <row r="14" spans="1:8" ht="15.75" thickBot="1" x14ac:dyDescent="0.3">
      <c r="A14" s="30" t="s">
        <v>4</v>
      </c>
      <c r="B14" s="14">
        <v>0.04</v>
      </c>
      <c r="C14" s="23"/>
      <c r="E14">
        <f>0.32*(LN(0.0033*350))</f>
        <v>4.6112110071602201E-2</v>
      </c>
      <c r="H14" s="39"/>
    </row>
    <row r="15" spans="1:8" ht="15.75" thickBot="1" x14ac:dyDescent="0.3">
      <c r="A15" s="24" t="s">
        <v>10</v>
      </c>
      <c r="B15" s="13">
        <v>48</v>
      </c>
      <c r="C15" s="23"/>
    </row>
    <row r="16" spans="1:8" ht="15.75" thickBot="1" x14ac:dyDescent="0.3">
      <c r="A16" s="24" t="s">
        <v>11</v>
      </c>
      <c r="B16" s="13">
        <v>108</v>
      </c>
      <c r="C16" s="23"/>
    </row>
    <row r="17" spans="1:6" x14ac:dyDescent="0.25">
      <c r="A17" s="29" t="s">
        <v>2</v>
      </c>
      <c r="B17" s="4">
        <v>0.14285714285714285</v>
      </c>
      <c r="C17" s="23"/>
    </row>
    <row r="18" spans="1:6" x14ac:dyDescent="0.25">
      <c r="A18" s="29" t="s">
        <v>3</v>
      </c>
      <c r="B18" s="5">
        <v>4.3478260869565216E-2</v>
      </c>
      <c r="C18" s="23"/>
    </row>
    <row r="19" spans="1:6" x14ac:dyDescent="0.25">
      <c r="A19" s="24" t="s">
        <v>12</v>
      </c>
      <c r="B19" s="2">
        <f>LN(B16/B15)</f>
        <v>0.81093021621632877</v>
      </c>
      <c r="C19" s="23"/>
    </row>
    <row r="20" spans="1:6" ht="15.75" thickBot="1" x14ac:dyDescent="0.3">
      <c r="A20" s="24"/>
      <c r="B20" s="2"/>
      <c r="C20" s="23"/>
    </row>
    <row r="21" spans="1:6" ht="15.75" thickBot="1" x14ac:dyDescent="0.3">
      <c r="A21" s="25" t="s">
        <v>13</v>
      </c>
      <c r="B21" s="16">
        <f>3.14156/((1/(7*B15))+(1/(2*B14))+B19+(1/(23*B16)))</f>
        <v>0.23595366488551953</v>
      </c>
      <c r="C21" s="23"/>
      <c r="D21">
        <f>B21*20</f>
        <v>4.7190732977103904</v>
      </c>
    </row>
    <row r="22" spans="1:6" ht="15.75" thickBot="1" x14ac:dyDescent="0.3">
      <c r="A22" s="26"/>
      <c r="B22" s="27"/>
      <c r="C22" s="28"/>
    </row>
    <row r="23" spans="1:6" ht="15.75" thickBot="1" x14ac:dyDescent="0.3"/>
    <row r="24" spans="1:6" x14ac:dyDescent="0.25">
      <c r="A24" s="19" t="s">
        <v>15</v>
      </c>
      <c r="B24" s="20"/>
      <c r="C24" s="21"/>
      <c r="D24" s="19" t="s">
        <v>36</v>
      </c>
      <c r="E24" s="20"/>
      <c r="F24" s="21"/>
    </row>
    <row r="25" spans="1:6" x14ac:dyDescent="0.25">
      <c r="A25" s="22" t="s">
        <v>16</v>
      </c>
      <c r="B25" s="2">
        <v>20</v>
      </c>
      <c r="C25" s="23" t="s">
        <v>18</v>
      </c>
      <c r="D25" s="24" t="s">
        <v>37</v>
      </c>
      <c r="E25" s="2">
        <v>22</v>
      </c>
      <c r="F25" s="23" t="s">
        <v>42</v>
      </c>
    </row>
    <row r="26" spans="1:6" x14ac:dyDescent="0.25">
      <c r="A26" s="22" t="s">
        <v>17</v>
      </c>
      <c r="B26" s="2">
        <v>18.5</v>
      </c>
      <c r="C26" s="23" t="s">
        <v>18</v>
      </c>
      <c r="D26" s="24" t="s">
        <v>38</v>
      </c>
      <c r="E26" s="2">
        <v>40</v>
      </c>
      <c r="F26" s="23" t="s">
        <v>18</v>
      </c>
    </row>
    <row r="27" spans="1:6" x14ac:dyDescent="0.25">
      <c r="A27" s="22" t="s">
        <v>19</v>
      </c>
      <c r="B27" s="2" t="e">
        <f>B10</f>
        <v>#REF!</v>
      </c>
      <c r="C27" s="23"/>
      <c r="D27" s="24" t="s">
        <v>39</v>
      </c>
      <c r="E27" s="2">
        <v>15</v>
      </c>
      <c r="F27" s="23" t="s">
        <v>18</v>
      </c>
    </row>
    <row r="28" spans="1:6" ht="15.75" thickBot="1" x14ac:dyDescent="0.3">
      <c r="A28" s="24"/>
      <c r="B28" s="2"/>
      <c r="C28" s="23"/>
      <c r="D28" s="24" t="s">
        <v>40</v>
      </c>
      <c r="E28" s="2">
        <f>E25*3.14/1000</f>
        <v>6.9080000000000003E-2</v>
      </c>
      <c r="F28" s="23" t="s">
        <v>41</v>
      </c>
    </row>
    <row r="29" spans="1:6" ht="15.75" thickBot="1" x14ac:dyDescent="0.3">
      <c r="A29" s="25" t="s">
        <v>20</v>
      </c>
      <c r="B29" s="8" t="e">
        <f>(B25-B26)*B27</f>
        <v>#REF!</v>
      </c>
      <c r="C29" s="23"/>
      <c r="D29" s="24" t="s">
        <v>36</v>
      </c>
      <c r="E29" s="44" t="e">
        <f>(E26-E27)*B10*E28</f>
        <v>#REF!</v>
      </c>
      <c r="F29" s="23" t="s">
        <v>44</v>
      </c>
    </row>
    <row r="30" spans="1:6" ht="15.75" thickBot="1" x14ac:dyDescent="0.3">
      <c r="A30" s="25" t="s">
        <v>21</v>
      </c>
      <c r="B30" s="8">
        <f>(B25-B26)*B21</f>
        <v>0.3539304973282793</v>
      </c>
      <c r="C30" s="23"/>
      <c r="D30" s="24" t="s">
        <v>36</v>
      </c>
      <c r="E30" s="44">
        <f>(E26-E27)*E28*B21</f>
        <v>0.40749197925729225</v>
      </c>
      <c r="F30" s="23" t="s">
        <v>44</v>
      </c>
    </row>
    <row r="31" spans="1:6" ht="15.75" thickBot="1" x14ac:dyDescent="0.3">
      <c r="A31" s="26"/>
      <c r="B31" s="27"/>
      <c r="C31" s="28"/>
      <c r="D31" s="26" t="s">
        <v>43</v>
      </c>
      <c r="E31" s="45" t="e">
        <f>E29-E30</f>
        <v>#REF!</v>
      </c>
      <c r="F31" s="28" t="s">
        <v>45</v>
      </c>
    </row>
    <row r="32" spans="1:6" ht="15.75" thickBot="1" x14ac:dyDescent="0.3"/>
    <row r="33" spans="1:4" x14ac:dyDescent="0.25">
      <c r="A33" s="19" t="s">
        <v>22</v>
      </c>
      <c r="B33" s="20"/>
      <c r="C33" s="21"/>
      <c r="D33" t="s">
        <v>60</v>
      </c>
    </row>
    <row r="34" spans="1:4" x14ac:dyDescent="0.25">
      <c r="A34" s="29" t="s">
        <v>25</v>
      </c>
      <c r="B34" s="17">
        <v>4.3478260869565216E-2</v>
      </c>
      <c r="C34" s="23"/>
    </row>
    <row r="35" spans="1:4" ht="15.75" thickBot="1" x14ac:dyDescent="0.3">
      <c r="A35" s="29" t="s">
        <v>3</v>
      </c>
      <c r="B35" s="18">
        <v>0.14285714285714285</v>
      </c>
      <c r="C35" s="23"/>
    </row>
    <row r="36" spans="1:4" ht="15.75" thickBot="1" x14ac:dyDescent="0.3">
      <c r="A36" s="30" t="s">
        <v>4</v>
      </c>
      <c r="B36" s="3">
        <v>0.04</v>
      </c>
      <c r="C36" s="7">
        <v>0.02</v>
      </c>
    </row>
    <row r="37" spans="1:4" x14ac:dyDescent="0.25">
      <c r="A37" s="22" t="s">
        <v>16</v>
      </c>
      <c r="B37" s="31">
        <v>100</v>
      </c>
      <c r="C37" s="23" t="s">
        <v>18</v>
      </c>
    </row>
    <row r="38" spans="1:4" x14ac:dyDescent="0.25">
      <c r="A38" s="22" t="s">
        <v>17</v>
      </c>
      <c r="B38" s="31">
        <v>30</v>
      </c>
      <c r="C38" s="23" t="s">
        <v>18</v>
      </c>
    </row>
    <row r="39" spans="1:4" ht="15.75" thickBot="1" x14ac:dyDescent="0.3">
      <c r="A39" s="24" t="s">
        <v>9</v>
      </c>
      <c r="B39" s="2"/>
      <c r="C39" s="23"/>
    </row>
    <row r="40" spans="1:4" ht="15.75" thickBot="1" x14ac:dyDescent="0.3">
      <c r="A40" s="30" t="s">
        <v>4</v>
      </c>
      <c r="B40" s="9">
        <v>7.0000000000000007E-2</v>
      </c>
      <c r="C40" s="23"/>
    </row>
    <row r="41" spans="1:4" ht="15.75" thickBot="1" x14ac:dyDescent="0.3">
      <c r="A41" s="24" t="s">
        <v>10</v>
      </c>
      <c r="B41" s="10">
        <v>0.114</v>
      </c>
      <c r="C41" s="23"/>
    </row>
    <row r="42" spans="1:4" ht="15.75" thickBot="1" x14ac:dyDescent="0.3">
      <c r="A42" s="24" t="s">
        <v>11</v>
      </c>
      <c r="B42" s="10">
        <v>0.154</v>
      </c>
      <c r="C42" s="23"/>
    </row>
    <row r="43" spans="1:4" x14ac:dyDescent="0.25">
      <c r="A43" s="29" t="s">
        <v>25</v>
      </c>
      <c r="B43" s="4">
        <v>4.3478260869565216E-2</v>
      </c>
      <c r="C43" s="23"/>
    </row>
    <row r="44" spans="1:4" ht="15.75" thickBot="1" x14ac:dyDescent="0.3">
      <c r="A44" s="24" t="s">
        <v>12</v>
      </c>
      <c r="B44" s="32">
        <f>LN(B42/B41)</f>
        <v>0.30075415401913369</v>
      </c>
      <c r="C44" s="23"/>
    </row>
    <row r="45" spans="1:4" ht="15.75" thickBot="1" x14ac:dyDescent="0.3">
      <c r="A45" s="25" t="s">
        <v>24</v>
      </c>
      <c r="B45" s="41">
        <f>B34/(B34+(C36/B36)+B35)*(B37-B38)+B38</f>
        <v>34.434389140271492</v>
      </c>
      <c r="C45" s="42" t="s">
        <v>18</v>
      </c>
    </row>
    <row r="46" spans="1:4" ht="15.75" thickBot="1" x14ac:dyDescent="0.3">
      <c r="A46" s="25" t="s">
        <v>23</v>
      </c>
      <c r="B46" s="41">
        <f>((1/(23*B42))/((1/(7*B41))+(1/(2*B40))+B44+(1/(23*B42))))*(B37-B38)+B38</f>
        <v>32.200990164146447</v>
      </c>
      <c r="C46" s="42" t="s">
        <v>18</v>
      </c>
    </row>
    <row r="47" spans="1:4" ht="15.75" thickBot="1" x14ac:dyDescent="0.3">
      <c r="A47" s="26"/>
      <c r="B47" s="27"/>
      <c r="C47" s="28"/>
    </row>
  </sheetData>
  <sheetProtection selectLockedCells="1"/>
  <customSheetViews>
    <customSheetView guid="{B8931168-3FC7-4411-8D60-84758EC59965}" state="hidden">
      <selection activeCell="B5" sqref="B5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41"/>
  <sheetViews>
    <sheetView workbookViewId="0">
      <selection activeCell="D16" sqref="D16"/>
    </sheetView>
  </sheetViews>
  <sheetFormatPr baseColWidth="10" defaultRowHeight="15" x14ac:dyDescent="0.25"/>
  <cols>
    <col min="1" max="1" width="52.5703125" bestFit="1" customWidth="1"/>
    <col min="2" max="2" width="12.5703125" customWidth="1"/>
    <col min="3" max="3" width="17.42578125" bestFit="1" customWidth="1"/>
    <col min="4" max="4" width="14" bestFit="1" customWidth="1"/>
    <col min="9" max="9" width="22.85546875" bestFit="1" customWidth="1"/>
    <col min="10" max="10" width="13.5703125" bestFit="1" customWidth="1"/>
  </cols>
  <sheetData>
    <row r="1" spans="1:9" x14ac:dyDescent="0.25">
      <c r="A1" s="51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5.75" thickBot="1" x14ac:dyDescent="0.3">
      <c r="A2" s="50"/>
      <c r="B2" s="32"/>
      <c r="C2" s="32"/>
      <c r="E2" s="32"/>
      <c r="F2" s="32"/>
      <c r="G2" s="32"/>
      <c r="H2" s="32"/>
      <c r="I2" s="32"/>
    </row>
    <row r="3" spans="1:9" x14ac:dyDescent="0.25">
      <c r="A3" s="66" t="s">
        <v>52</v>
      </c>
      <c r="B3" s="20"/>
      <c r="C3" s="67"/>
      <c r="D3" s="71" t="s">
        <v>48</v>
      </c>
      <c r="E3" s="32"/>
      <c r="F3" s="32"/>
      <c r="G3" s="32"/>
      <c r="H3" s="32"/>
      <c r="I3" s="32"/>
    </row>
    <row r="4" spans="1:9" x14ac:dyDescent="0.25">
      <c r="A4" s="48" t="s">
        <v>47</v>
      </c>
      <c r="B4" s="61">
        <v>42</v>
      </c>
      <c r="C4" s="59" t="s">
        <v>1</v>
      </c>
      <c r="D4" s="68" t="e">
        <f>1/(17*B20)</f>
        <v>#DIV/0!</v>
      </c>
      <c r="E4" s="32"/>
      <c r="F4" s="32"/>
      <c r="G4" s="32"/>
      <c r="H4" s="32"/>
      <c r="I4" s="32"/>
    </row>
    <row r="5" spans="1:9" x14ac:dyDescent="0.25">
      <c r="A5" s="48"/>
      <c r="B5" s="53"/>
      <c r="C5" s="32"/>
      <c r="D5" s="68" t="e">
        <f>(1/(B4))+LN(B22/B20)</f>
        <v>#DIV/0!</v>
      </c>
      <c r="E5" s="32"/>
      <c r="F5" s="32"/>
      <c r="G5" s="32"/>
      <c r="H5" s="32"/>
      <c r="I5" s="32"/>
    </row>
    <row r="6" spans="1:9" x14ac:dyDescent="0.25">
      <c r="A6" s="48"/>
      <c r="B6" s="53"/>
      <c r="C6" s="32"/>
      <c r="D6" s="68">
        <f>1/(7*B22)</f>
        <v>47.619047619047613</v>
      </c>
      <c r="E6" s="32"/>
      <c r="F6" s="32"/>
      <c r="G6" s="32"/>
      <c r="H6" s="32"/>
      <c r="I6" s="32"/>
    </row>
    <row r="7" spans="1:9" ht="15.75" thickBot="1" x14ac:dyDescent="0.3">
      <c r="A7" s="72"/>
      <c r="B7" s="74"/>
      <c r="C7" s="75"/>
      <c r="D7" s="73" t="e">
        <f>D4+D5+D6</f>
        <v>#DIV/0!</v>
      </c>
      <c r="E7" s="32"/>
      <c r="F7" s="32"/>
      <c r="G7" s="32"/>
      <c r="H7" s="32"/>
      <c r="I7" s="32"/>
    </row>
    <row r="8" spans="1:9" ht="15.75" thickBot="1" x14ac:dyDescent="0.3">
      <c r="B8" s="69" t="s">
        <v>51</v>
      </c>
      <c r="C8" s="70" t="e">
        <f>2*3.14/D7</f>
        <v>#DIV/0!</v>
      </c>
      <c r="D8" s="70" t="s">
        <v>50</v>
      </c>
      <c r="E8" s="32"/>
      <c r="F8" s="32"/>
      <c r="G8" s="32"/>
      <c r="H8" s="32"/>
      <c r="I8" s="32"/>
    </row>
    <row r="9" spans="1:9" x14ac:dyDescent="0.25">
      <c r="A9" s="50"/>
      <c r="B9" s="32"/>
      <c r="C9" s="32"/>
      <c r="D9" s="51"/>
      <c r="E9" s="32"/>
      <c r="F9" s="32"/>
      <c r="G9" s="32"/>
      <c r="H9" s="32"/>
      <c r="I9" s="32"/>
    </row>
    <row r="10" spans="1:9" x14ac:dyDescent="0.25">
      <c r="A10" s="51"/>
      <c r="B10" s="32"/>
      <c r="C10" s="32"/>
      <c r="D10" s="51"/>
      <c r="E10" s="32"/>
      <c r="F10" s="32"/>
      <c r="G10" s="32"/>
      <c r="H10" s="32"/>
      <c r="I10" s="32"/>
    </row>
    <row r="11" spans="1:9" ht="15.75" thickBot="1" x14ac:dyDescent="0.3">
      <c r="A11" s="32"/>
      <c r="B11" s="32"/>
      <c r="C11" s="32"/>
      <c r="D11" s="51"/>
      <c r="E11" s="32"/>
      <c r="F11" s="32"/>
      <c r="G11" s="32"/>
      <c r="H11" s="32"/>
      <c r="I11" s="32"/>
    </row>
    <row r="12" spans="1:9" x14ac:dyDescent="0.25">
      <c r="A12" s="62"/>
      <c r="B12" s="55"/>
      <c r="C12" s="55"/>
      <c r="D12" s="71" t="s">
        <v>48</v>
      </c>
      <c r="E12" s="32"/>
      <c r="F12" s="32"/>
      <c r="G12" s="32"/>
      <c r="H12" s="32"/>
      <c r="I12" s="32"/>
    </row>
    <row r="13" spans="1:9" x14ac:dyDescent="0.25">
      <c r="A13" s="58" t="s">
        <v>53</v>
      </c>
      <c r="B13" s="32"/>
      <c r="C13" s="32"/>
      <c r="D13" s="68" t="e">
        <f>1/(25*B20)</f>
        <v>#DIV/0!</v>
      </c>
      <c r="E13" s="32"/>
      <c r="F13" s="32"/>
      <c r="G13" s="32"/>
      <c r="H13" s="32"/>
      <c r="I13" s="32"/>
    </row>
    <row r="14" spans="1:9" x14ac:dyDescent="0.25">
      <c r="A14" s="48" t="s">
        <v>49</v>
      </c>
      <c r="B14" s="61">
        <v>3.5000000000000003E-2</v>
      </c>
      <c r="C14" s="59" t="s">
        <v>1</v>
      </c>
      <c r="D14" s="68" t="e">
        <f>(1/(B4))+LN(B22/B20)</f>
        <v>#DIV/0!</v>
      </c>
      <c r="E14" s="32"/>
      <c r="F14" s="60"/>
      <c r="G14" s="32"/>
      <c r="H14" s="32"/>
      <c r="I14" s="32"/>
    </row>
    <row r="15" spans="1:9" x14ac:dyDescent="0.25">
      <c r="A15" s="49"/>
      <c r="B15" s="32"/>
      <c r="C15" s="32"/>
      <c r="D15" s="68" t="e">
        <f>(1/(B14))*(LN(B21/B20))</f>
        <v>#DIV/0!</v>
      </c>
      <c r="E15" s="32"/>
      <c r="F15" s="32"/>
      <c r="G15" s="32"/>
      <c r="H15" s="32"/>
      <c r="I15" s="32"/>
    </row>
    <row r="16" spans="1:9" x14ac:dyDescent="0.25">
      <c r="A16" s="49"/>
      <c r="B16" s="32"/>
      <c r="C16" s="32"/>
      <c r="D16" s="68" t="e">
        <f>1/(8*B21)</f>
        <v>#DIV/0!</v>
      </c>
      <c r="E16" s="32"/>
      <c r="F16" s="32"/>
      <c r="G16" s="32"/>
      <c r="H16" s="32"/>
      <c r="I16" s="32"/>
    </row>
    <row r="17" spans="1:9" ht="15.75" thickBot="1" x14ac:dyDescent="0.3">
      <c r="A17" s="26"/>
      <c r="B17" s="27"/>
      <c r="C17" s="27"/>
      <c r="D17" s="73" t="e">
        <f>SUM(D13:D16)</f>
        <v>#DIV/0!</v>
      </c>
      <c r="E17" s="32"/>
      <c r="F17" s="32"/>
      <c r="G17" s="32"/>
      <c r="H17" s="32"/>
      <c r="I17" s="32"/>
    </row>
    <row r="18" spans="1:9" ht="15.75" thickBot="1" x14ac:dyDescent="0.3">
      <c r="A18" s="54"/>
      <c r="B18" s="69" t="s">
        <v>51</v>
      </c>
      <c r="C18" s="70" t="e">
        <f>2*3.14/D17</f>
        <v>#DIV/0!</v>
      </c>
      <c r="D18" s="73" t="s">
        <v>50</v>
      </c>
      <c r="E18" s="32"/>
      <c r="F18" s="32"/>
      <c r="G18" s="32"/>
      <c r="H18" s="32"/>
      <c r="I18" s="32"/>
    </row>
    <row r="19" spans="1:9" ht="15.75" thickBot="1" x14ac:dyDescent="0.3">
      <c r="F19" s="32"/>
      <c r="G19" s="32"/>
      <c r="H19" s="32"/>
      <c r="I19" s="32"/>
    </row>
    <row r="20" spans="1:9" x14ac:dyDescent="0.25">
      <c r="A20" s="62" t="s">
        <v>37</v>
      </c>
      <c r="B20" s="55">
        <f>Tool!C10/1000</f>
        <v>0</v>
      </c>
      <c r="C20" s="56" t="s">
        <v>54</v>
      </c>
      <c r="F20" s="32"/>
      <c r="G20" s="32"/>
      <c r="H20" s="32"/>
      <c r="I20" s="32"/>
    </row>
    <row r="21" spans="1:9" x14ac:dyDescent="0.25">
      <c r="A21" s="49" t="s">
        <v>56</v>
      </c>
      <c r="B21" s="32">
        <f>(Tool!C10+Tool!C11+Tool!C11)/1000</f>
        <v>0</v>
      </c>
      <c r="C21" s="57" t="s">
        <v>55</v>
      </c>
      <c r="F21" s="32"/>
      <c r="G21" s="32"/>
      <c r="H21" s="32"/>
      <c r="I21" s="32"/>
    </row>
    <row r="22" spans="1:9" ht="15.75" thickBot="1" x14ac:dyDescent="0.3">
      <c r="A22" s="63" t="s">
        <v>57</v>
      </c>
      <c r="B22" s="64">
        <f>B20+0.003</f>
        <v>3.0000000000000001E-3</v>
      </c>
      <c r="C22" s="65" t="s">
        <v>37</v>
      </c>
      <c r="D22" s="32"/>
      <c r="E22" s="32"/>
      <c r="F22" s="32"/>
      <c r="G22" s="32"/>
      <c r="H22" s="32"/>
      <c r="I22" s="32"/>
    </row>
    <row r="23" spans="1:9" x14ac:dyDescent="0.25">
      <c r="A23" s="51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52"/>
      <c r="B24" s="53"/>
      <c r="C24" s="32"/>
      <c r="D24" s="32"/>
      <c r="E24" s="32"/>
      <c r="F24" s="32"/>
      <c r="G24" s="32"/>
      <c r="H24" s="32"/>
      <c r="I24" s="32"/>
    </row>
    <row r="25" spans="1:9" x14ac:dyDescent="0.25">
      <c r="A25" s="53">
        <v>22</v>
      </c>
      <c r="B25" s="32">
        <v>29</v>
      </c>
      <c r="C25" s="32"/>
      <c r="D25" s="32"/>
      <c r="E25" s="32"/>
      <c r="F25" s="32"/>
      <c r="G25" s="32"/>
      <c r="H25" s="32"/>
      <c r="I25" s="32"/>
    </row>
    <row r="26" spans="1:9" x14ac:dyDescent="0.25">
      <c r="A26" s="53">
        <v>28</v>
      </c>
      <c r="B26" s="32">
        <v>30</v>
      </c>
      <c r="C26" s="32"/>
      <c r="D26" s="32"/>
      <c r="E26" s="32"/>
      <c r="F26" s="32"/>
      <c r="G26" s="32"/>
      <c r="H26" s="32"/>
      <c r="I26" s="32"/>
    </row>
    <row r="27" spans="1:9" x14ac:dyDescent="0.25">
      <c r="A27" s="76">
        <v>35</v>
      </c>
      <c r="B27" s="32">
        <v>32</v>
      </c>
      <c r="C27" s="32"/>
      <c r="D27" s="32"/>
      <c r="E27" s="32"/>
      <c r="F27" s="32"/>
      <c r="G27" s="32"/>
    </row>
    <row r="28" spans="1:9" x14ac:dyDescent="0.25">
      <c r="A28" s="76">
        <v>42</v>
      </c>
      <c r="B28" s="32">
        <v>39</v>
      </c>
      <c r="C28" s="32"/>
      <c r="D28" s="32"/>
      <c r="E28" s="32"/>
      <c r="F28" s="32"/>
      <c r="G28" s="32"/>
    </row>
    <row r="29" spans="1:9" x14ac:dyDescent="0.25">
      <c r="A29" s="53">
        <v>60</v>
      </c>
      <c r="B29" s="32">
        <v>45</v>
      </c>
      <c r="C29" s="32"/>
      <c r="D29" s="32"/>
      <c r="E29" s="32"/>
      <c r="F29" s="32"/>
      <c r="G29" s="32"/>
    </row>
    <row r="30" spans="1:9" x14ac:dyDescent="0.25">
      <c r="A30" s="53">
        <v>76</v>
      </c>
      <c r="B30" s="32">
        <v>57</v>
      </c>
      <c r="C30" s="32"/>
      <c r="D30" s="32"/>
      <c r="E30" s="32"/>
      <c r="F30" s="32"/>
      <c r="G30" s="32"/>
    </row>
    <row r="31" spans="1:9" x14ac:dyDescent="0.25">
      <c r="A31" s="77">
        <v>89</v>
      </c>
      <c r="B31" s="32">
        <v>59</v>
      </c>
      <c r="C31" s="32"/>
      <c r="D31" s="32"/>
      <c r="E31" s="32"/>
      <c r="F31" s="32"/>
      <c r="G31" s="32"/>
    </row>
    <row r="32" spans="1:9" x14ac:dyDescent="0.25">
      <c r="A32" s="53">
        <v>114</v>
      </c>
      <c r="B32" s="32">
        <v>92</v>
      </c>
      <c r="C32" s="32"/>
      <c r="D32" s="32"/>
      <c r="E32" s="32"/>
      <c r="F32" s="32"/>
      <c r="G32" s="32"/>
    </row>
    <row r="33" spans="1:8" x14ac:dyDescent="0.25">
      <c r="A33" s="53">
        <v>140</v>
      </c>
      <c r="B33" s="32">
        <v>99</v>
      </c>
      <c r="C33" s="32"/>
      <c r="D33" s="32"/>
      <c r="E33" s="32"/>
      <c r="F33" s="32"/>
      <c r="G33" s="32"/>
    </row>
    <row r="34" spans="1:8" x14ac:dyDescent="0.25">
      <c r="A34" s="53">
        <v>168</v>
      </c>
      <c r="B34" s="32">
        <v>116</v>
      </c>
      <c r="C34" s="32"/>
      <c r="D34" s="32"/>
      <c r="E34" s="32"/>
      <c r="F34" s="32"/>
      <c r="G34" s="32"/>
    </row>
    <row r="35" spans="1:8" x14ac:dyDescent="0.25">
      <c r="A35" s="53">
        <v>219</v>
      </c>
      <c r="B35" s="32">
        <v>145</v>
      </c>
      <c r="C35" s="32"/>
      <c r="D35" s="32"/>
      <c r="E35" s="32"/>
      <c r="F35" s="32"/>
      <c r="G35" s="32"/>
    </row>
    <row r="36" spans="1:8" x14ac:dyDescent="0.25">
      <c r="A36" s="53">
        <v>273</v>
      </c>
      <c r="B36" s="32">
        <v>171</v>
      </c>
      <c r="C36" s="32"/>
      <c r="D36" s="32"/>
      <c r="E36" s="32"/>
      <c r="F36" s="32"/>
      <c r="G36" s="32"/>
    </row>
    <row r="37" spans="1:8" x14ac:dyDescent="0.25">
      <c r="A37" s="53">
        <v>324</v>
      </c>
      <c r="B37" s="32">
        <v>198</v>
      </c>
      <c r="C37" s="32"/>
      <c r="D37" s="32"/>
      <c r="E37" s="32"/>
      <c r="F37" s="32"/>
      <c r="G37" s="32"/>
    </row>
    <row r="38" spans="1:8" x14ac:dyDescent="0.25">
      <c r="A38" s="53"/>
      <c r="B38" s="32"/>
      <c r="C38" s="32"/>
      <c r="D38" s="32"/>
      <c r="E38" s="32"/>
      <c r="F38" s="32"/>
      <c r="G38" s="32"/>
    </row>
    <row r="39" spans="1:8" x14ac:dyDescent="0.25">
      <c r="A39" s="32" t="s">
        <v>59</v>
      </c>
      <c r="B39" s="50">
        <v>0.09</v>
      </c>
      <c r="C39" s="32"/>
      <c r="D39" s="32"/>
      <c r="E39" s="32"/>
      <c r="F39" s="32"/>
      <c r="G39" s="32"/>
      <c r="H39" s="46"/>
    </row>
    <row r="40" spans="1:8" x14ac:dyDescent="0.25">
      <c r="A40" s="32" t="s">
        <v>61</v>
      </c>
      <c r="B40" s="50">
        <v>150</v>
      </c>
      <c r="C40" s="32"/>
      <c r="D40" s="32"/>
      <c r="E40" s="32"/>
      <c r="F40" s="32"/>
      <c r="G40" s="32"/>
      <c r="H40" s="47"/>
    </row>
    <row r="41" spans="1:8" x14ac:dyDescent="0.25">
      <c r="A41" s="53"/>
      <c r="B41" s="32"/>
    </row>
  </sheetData>
  <sheetProtection selectLockedCells="1"/>
  <customSheetViews>
    <customSheetView guid="{B8931168-3FC7-4411-8D60-84758EC59965}" state="hidden" topLeftCell="A4">
      <selection activeCell="F3" sqref="F3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"/>
  <sheetViews>
    <sheetView workbookViewId="0"/>
  </sheetViews>
  <sheetFormatPr baseColWidth="10" defaultRowHeight="15" x14ac:dyDescent="0.25"/>
  <sheetData/>
  <customSheetViews>
    <customSheetView guid="{B8931168-3FC7-4411-8D60-84758EC59965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workbookViewId="0"/>
  </sheetViews>
  <sheetFormatPr baseColWidth="10" defaultRowHeight="15" x14ac:dyDescent="0.25"/>
  <sheetData/>
  <customSheetViews>
    <customSheetView guid="{B8931168-3FC7-4411-8D60-84758EC59965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"/>
  <sheetViews>
    <sheetView workbookViewId="0"/>
  </sheetViews>
  <sheetFormatPr baseColWidth="10" defaultRowHeight="15" x14ac:dyDescent="0.25"/>
  <sheetData/>
  <customSheetViews>
    <customSheetView guid="{B8931168-3FC7-4411-8D60-84758EC59965}" state="hidden"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"/>
  <sheetViews>
    <sheetView workbookViewId="0">
      <selection activeCell="B41" sqref="B41"/>
    </sheetView>
  </sheetViews>
  <sheetFormatPr baseColWidth="10" defaultRowHeight="15" x14ac:dyDescent="0.25"/>
  <sheetData/>
  <customSheetViews>
    <customSheetView guid="{B8931168-3FC7-4411-8D60-84758EC59965}" state="hidden">
      <selection activeCell="B41" sqref="B41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Tool</vt:lpstr>
      <vt:lpstr>Formeln</vt:lpstr>
      <vt:lpstr>Hilfstool</vt:lpstr>
      <vt:lpstr>Tabelle1</vt:lpstr>
      <vt:lpstr>Tabelle2</vt:lpstr>
      <vt:lpstr>Tabelle3</vt:lpstr>
      <vt:lpstr>Tabelle4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Glauser</dc:creator>
  <cp:lastModifiedBy>Rolf Glauser</cp:lastModifiedBy>
  <cp:lastPrinted>2011-05-09T09:44:10Z</cp:lastPrinted>
  <dcterms:created xsi:type="dcterms:W3CDTF">2011-01-13T13:11:25Z</dcterms:created>
  <dcterms:modified xsi:type="dcterms:W3CDTF">2018-06-26T08:49:41Z</dcterms:modified>
</cp:coreProperties>
</file>